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520" windowHeight="12810" activeTab="1"/>
  </bookViews>
  <sheets>
    <sheet name="Ceny" sheetId="1" r:id="rId1"/>
    <sheet name="Kalkulator" sheetId="7" r:id="rId2"/>
  </sheets>
  <calcPr calcId="125725"/>
</workbook>
</file>

<file path=xl/calcChain.xml><?xml version="1.0" encoding="utf-8"?>
<calcChain xmlns="http://schemas.openxmlformats.org/spreadsheetml/2006/main">
  <c r="P11" i="1"/>
  <c r="U2"/>
  <c r="G42"/>
  <c r="G41"/>
  <c r="G40"/>
  <c r="G24"/>
  <c r="G23"/>
  <c r="G22"/>
  <c r="E46" i="7"/>
  <c r="D47"/>
  <c r="G25" s="1"/>
  <c r="I47"/>
  <c r="I39"/>
  <c r="I49"/>
  <c r="H49"/>
  <c r="G49"/>
  <c r="F49"/>
  <c r="E49"/>
  <c r="D49"/>
  <c r="I48"/>
  <c r="H48"/>
  <c r="G48"/>
  <c r="F48"/>
  <c r="E48"/>
  <c r="D48"/>
  <c r="E47"/>
  <c r="F47"/>
  <c r="G47"/>
  <c r="H47"/>
  <c r="I46"/>
  <c r="F46"/>
  <c r="G46"/>
  <c r="H46"/>
  <c r="D46"/>
  <c r="G24" s="1"/>
  <c r="D35"/>
  <c r="I41"/>
  <c r="H41"/>
  <c r="G41"/>
  <c r="F41"/>
  <c r="E41"/>
  <c r="D41"/>
  <c r="I40"/>
  <c r="H40"/>
  <c r="G40"/>
  <c r="F40"/>
  <c r="E40"/>
  <c r="D40"/>
  <c r="H39"/>
  <c r="G39"/>
  <c r="F39"/>
  <c r="E39"/>
  <c r="D39"/>
  <c r="H25" s="1"/>
  <c r="I38"/>
  <c r="H38"/>
  <c r="G38"/>
  <c r="F38"/>
  <c r="E38"/>
  <c r="D38"/>
  <c r="H24" s="1"/>
  <c r="H28" l="1"/>
  <c r="G28"/>
  <c r="H29"/>
  <c r="G29"/>
  <c r="I24"/>
  <c r="H26"/>
  <c r="J24"/>
  <c r="I50"/>
  <c r="I51" s="1"/>
  <c r="H50"/>
  <c r="H51" s="1"/>
  <c r="G50"/>
  <c r="G51" s="1"/>
  <c r="F50"/>
  <c r="F51" s="1"/>
  <c r="E50"/>
  <c r="E51" s="1"/>
  <c r="D50"/>
  <c r="D51" s="1"/>
  <c r="D22"/>
  <c r="I3" l="1"/>
  <c r="I42" l="1"/>
  <c r="D42"/>
  <c r="E42"/>
  <c r="G42"/>
  <c r="G43" s="1"/>
  <c r="F42"/>
  <c r="F43" s="1"/>
  <c r="H42"/>
  <c r="S45" i="1"/>
  <c r="R45"/>
  <c r="S60"/>
  <c r="R60"/>
  <c r="Q60"/>
  <c r="P60"/>
  <c r="S53"/>
  <c r="R53"/>
  <c r="Q53"/>
  <c r="P53"/>
  <c r="S39"/>
  <c r="R39"/>
  <c r="Q39"/>
  <c r="P39"/>
  <c r="S33"/>
  <c r="R33"/>
  <c r="Q33"/>
  <c r="P33"/>
  <c r="S27"/>
  <c r="R27"/>
  <c r="Q27"/>
  <c r="P27"/>
  <c r="S21"/>
  <c r="R21"/>
  <c r="Q21"/>
  <c r="P21"/>
  <c r="S15"/>
  <c r="R15"/>
  <c r="Q15"/>
  <c r="P15"/>
  <c r="Q8"/>
  <c r="R8"/>
  <c r="S8"/>
  <c r="P8"/>
  <c r="U3"/>
  <c r="U1"/>
  <c r="S5"/>
  <c r="Q5"/>
  <c r="I43" i="7" l="1"/>
  <c r="H43"/>
  <c r="D43"/>
  <c r="E43"/>
  <c r="Q36" i="1"/>
  <c r="P36"/>
  <c r="P30"/>
  <c r="P63"/>
  <c r="Q24"/>
  <c r="P24"/>
  <c r="P56"/>
  <c r="Q42"/>
  <c r="P18"/>
  <c r="P42"/>
  <c r="Q30"/>
  <c r="Q63"/>
  <c r="Q56"/>
  <c r="Q18"/>
  <c r="Q16"/>
  <c r="Q29"/>
  <c r="Q41"/>
  <c r="Q62"/>
  <c r="Q17"/>
  <c r="P29"/>
  <c r="P41"/>
  <c r="P62"/>
  <c r="Q9"/>
  <c r="P17"/>
  <c r="Q22"/>
  <c r="Q28"/>
  <c r="Q34"/>
  <c r="Q40"/>
  <c r="Q54"/>
  <c r="Q61"/>
  <c r="P9"/>
  <c r="P16"/>
  <c r="P22"/>
  <c r="P28"/>
  <c r="P34"/>
  <c r="P40"/>
  <c r="P54"/>
  <c r="P61"/>
  <c r="Q10"/>
  <c r="Q23"/>
  <c r="Q35"/>
  <c r="Q55"/>
  <c r="P10"/>
  <c r="P23"/>
  <c r="P35"/>
  <c r="P55"/>
  <c r="Q11"/>
  <c r="V57"/>
  <c r="U57"/>
  <c r="V12"/>
  <c r="T12"/>
  <c r="H11" i="7"/>
  <c r="H8"/>
  <c r="C5"/>
  <c r="I2"/>
  <c r="I1"/>
  <c r="I28" l="1"/>
  <c r="T57" i="1"/>
  <c r="U12"/>
  <c r="J29" i="7"/>
  <c r="I29"/>
  <c r="H30"/>
  <c r="H32" s="1"/>
  <c r="E24" s="1"/>
  <c r="H42" i="1"/>
  <c r="S42" s="1"/>
  <c r="R42"/>
  <c r="H41"/>
  <c r="S41" s="1"/>
  <c r="R41"/>
  <c r="H40"/>
  <c r="R40"/>
  <c r="H24"/>
  <c r="H23"/>
  <c r="S23" s="1"/>
  <c r="R23"/>
  <c r="H22"/>
  <c r="R22"/>
  <c r="H12"/>
  <c r="G12"/>
  <c r="H11"/>
  <c r="S11" s="1"/>
  <c r="G11"/>
  <c r="R11" s="1"/>
  <c r="H10"/>
  <c r="S10" s="1"/>
  <c r="G10"/>
  <c r="R10" s="1"/>
  <c r="H9"/>
  <c r="S9" s="1"/>
  <c r="G9"/>
  <c r="R9" s="1"/>
  <c r="V23" l="1"/>
  <c r="T11"/>
  <c r="U42"/>
  <c r="V10"/>
  <c r="U41"/>
  <c r="U10"/>
  <c r="V9"/>
  <c r="T9"/>
  <c r="U23"/>
  <c r="V41"/>
  <c r="J24"/>
  <c r="R24"/>
  <c r="T42"/>
  <c r="K22"/>
  <c r="S22"/>
  <c r="U22" s="1"/>
  <c r="K42"/>
  <c r="J42"/>
  <c r="U11"/>
  <c r="T23"/>
  <c r="V11"/>
  <c r="K40"/>
  <c r="S40"/>
  <c r="U40" s="1"/>
  <c r="K24"/>
  <c r="S24"/>
  <c r="V42"/>
  <c r="T41"/>
  <c r="U9"/>
  <c r="S50"/>
  <c r="R50"/>
  <c r="T10"/>
  <c r="I24"/>
  <c r="E25" i="7"/>
  <c r="F25" s="1"/>
  <c r="F24"/>
  <c r="G30"/>
  <c r="J30" s="1"/>
  <c r="J28"/>
  <c r="J25"/>
  <c r="I25"/>
  <c r="A22"/>
  <c r="G26"/>
  <c r="I26" s="1"/>
  <c r="K41" i="1"/>
  <c r="H47"/>
  <c r="G47"/>
  <c r="J23"/>
  <c r="G50"/>
  <c r="H50"/>
  <c r="K23"/>
  <c r="I42"/>
  <c r="I41"/>
  <c r="J41"/>
  <c r="I23"/>
  <c r="J12"/>
  <c r="I9"/>
  <c r="J22"/>
  <c r="J40"/>
  <c r="I40"/>
  <c r="I22"/>
  <c r="J11"/>
  <c r="J9"/>
  <c r="J10"/>
  <c r="I11"/>
  <c r="I12"/>
  <c r="I10"/>
  <c r="H63"/>
  <c r="S63" s="1"/>
  <c r="G63"/>
  <c r="R63" s="1"/>
  <c r="H62"/>
  <c r="S62" s="1"/>
  <c r="G62"/>
  <c r="R62" s="1"/>
  <c r="H61"/>
  <c r="S61" s="1"/>
  <c r="G61"/>
  <c r="R61" s="1"/>
  <c r="H57"/>
  <c r="G57"/>
  <c r="H56"/>
  <c r="S56" s="1"/>
  <c r="G56"/>
  <c r="R56" s="1"/>
  <c r="H55"/>
  <c r="S55" s="1"/>
  <c r="G55"/>
  <c r="R55" s="1"/>
  <c r="H54"/>
  <c r="S54" s="1"/>
  <c r="G54"/>
  <c r="R54" s="1"/>
  <c r="H36"/>
  <c r="G36"/>
  <c r="R36" s="1"/>
  <c r="H35"/>
  <c r="S35" s="1"/>
  <c r="G35"/>
  <c r="R35" s="1"/>
  <c r="H34"/>
  <c r="S34" s="1"/>
  <c r="G34"/>
  <c r="R34" s="1"/>
  <c r="H30"/>
  <c r="G30"/>
  <c r="R30" s="1"/>
  <c r="H29"/>
  <c r="S29" s="1"/>
  <c r="G29"/>
  <c r="R29" s="1"/>
  <c r="H28"/>
  <c r="S28" s="1"/>
  <c r="G28"/>
  <c r="R28" s="1"/>
  <c r="H18"/>
  <c r="G18"/>
  <c r="H17"/>
  <c r="S17" s="1"/>
  <c r="G17"/>
  <c r="R17" s="1"/>
  <c r="H16"/>
  <c r="S16" s="1"/>
  <c r="G16"/>
  <c r="R16" s="1"/>
  <c r="J47" l="1"/>
  <c r="V17"/>
  <c r="V35"/>
  <c r="V61"/>
  <c r="V29"/>
  <c r="V55"/>
  <c r="V63"/>
  <c r="T50"/>
  <c r="V28"/>
  <c r="V16"/>
  <c r="V34"/>
  <c r="V62"/>
  <c r="T17"/>
  <c r="U17"/>
  <c r="U61"/>
  <c r="T61"/>
  <c r="U56"/>
  <c r="T56"/>
  <c r="U29"/>
  <c r="T29"/>
  <c r="T55"/>
  <c r="U55"/>
  <c r="T28"/>
  <c r="U28"/>
  <c r="V54"/>
  <c r="U54"/>
  <c r="T54"/>
  <c r="T63"/>
  <c r="U63"/>
  <c r="V40"/>
  <c r="T40"/>
  <c r="R48"/>
  <c r="H46"/>
  <c r="S18"/>
  <c r="H49"/>
  <c r="S36"/>
  <c r="T36" s="1"/>
  <c r="U24"/>
  <c r="T24"/>
  <c r="R47"/>
  <c r="G46"/>
  <c r="R18"/>
  <c r="T62"/>
  <c r="U62"/>
  <c r="S47"/>
  <c r="V24"/>
  <c r="V50"/>
  <c r="U35"/>
  <c r="T35"/>
  <c r="V22"/>
  <c r="T22"/>
  <c r="U16"/>
  <c r="T16"/>
  <c r="T34"/>
  <c r="U34"/>
  <c r="H48"/>
  <c r="S30"/>
  <c r="U30" s="1"/>
  <c r="U50"/>
  <c r="V56"/>
  <c r="R49"/>
  <c r="I30" i="7"/>
  <c r="J26"/>
  <c r="G32"/>
  <c r="J32" s="1"/>
  <c r="A26"/>
  <c r="A23"/>
  <c r="A27" s="1"/>
  <c r="I47" i="1"/>
  <c r="I50"/>
  <c r="K47"/>
  <c r="K50"/>
  <c r="J50"/>
  <c r="I63"/>
  <c r="J63"/>
  <c r="I36"/>
  <c r="J36"/>
  <c r="I29"/>
  <c r="J29"/>
  <c r="I28"/>
  <c r="J28"/>
  <c r="I62"/>
  <c r="J62"/>
  <c r="J55"/>
  <c r="I55"/>
  <c r="J17"/>
  <c r="I17"/>
  <c r="J35"/>
  <c r="I35"/>
  <c r="I61"/>
  <c r="J61"/>
  <c r="I16"/>
  <c r="J16"/>
  <c r="J54"/>
  <c r="I54"/>
  <c r="I18"/>
  <c r="J18"/>
  <c r="J34"/>
  <c r="I34"/>
  <c r="I57"/>
  <c r="J57"/>
  <c r="I30"/>
  <c r="J30"/>
  <c r="I56"/>
  <c r="J56"/>
  <c r="G49"/>
  <c r="G48"/>
  <c r="J48" s="1"/>
  <c r="J49" l="1"/>
  <c r="I46"/>
  <c r="J46"/>
  <c r="T30"/>
  <c r="U36"/>
  <c r="V36"/>
  <c r="S49"/>
  <c r="V49" s="1"/>
  <c r="T47"/>
  <c r="U47"/>
  <c r="U18"/>
  <c r="T18"/>
  <c r="R46"/>
  <c r="V30"/>
  <c r="S48"/>
  <c r="V48" s="1"/>
  <c r="V18"/>
  <c r="S46"/>
  <c r="V47"/>
  <c r="I33" i="7"/>
  <c r="I32"/>
  <c r="I48" i="1"/>
  <c r="I49"/>
  <c r="K63"/>
  <c r="K62"/>
  <c r="K61"/>
  <c r="K57"/>
  <c r="K56"/>
  <c r="K55"/>
  <c r="K54"/>
  <c r="K36"/>
  <c r="K35"/>
  <c r="K34"/>
  <c r="K30"/>
  <c r="K29"/>
  <c r="K28"/>
  <c r="K18"/>
  <c r="K17"/>
  <c r="K16"/>
  <c r="K12"/>
  <c r="K11"/>
  <c r="K10"/>
  <c r="K9"/>
  <c r="V46" l="1"/>
  <c r="U49"/>
  <c r="T49"/>
  <c r="U46"/>
  <c r="T46"/>
  <c r="T48"/>
  <c r="U48"/>
  <c r="K49"/>
  <c r="K48"/>
  <c r="K46"/>
</calcChain>
</file>

<file path=xl/sharedStrings.xml><?xml version="1.0" encoding="utf-8"?>
<sst xmlns="http://schemas.openxmlformats.org/spreadsheetml/2006/main" count="362" uniqueCount="102">
  <si>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</si>
  <si>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</si>
  <si>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</si>
  <si>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</si>
  <si>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</si>
  <si>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</si>
  <si>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</si>
  <si>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</si>
  <si>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</si>
  <si>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</si>
  <si>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</si>
  <si>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</si>
  <si>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</si>
  <si>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</si>
  <si>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</si>
  <si>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</si>
  <si>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</si>
  <si>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</si>
  <si>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</si>
  <si>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</si>
  <si>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</si>
  <si>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</si>
  <si>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</si>
  <si>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</si>
  <si>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Grupa</t>
  </si>
  <si>
    <t>DANE</t>
  </si>
  <si>
    <t>[kW]</t>
  </si>
  <si>
    <t>[-]</t>
  </si>
  <si>
    <t>[GJ]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</si>
  <si>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</si>
  <si>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</si>
  <si>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</si>
  <si>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</si>
  <si>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</si>
  <si>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</si>
  <si>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</si>
  <si>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</si>
  <si>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</si>
  <si>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</si>
  <si>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</si>
  <si>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</si>
  <si>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</si>
  <si>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</si>
  <si>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</si>
  <si>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</si>
  <si>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</si>
  <si>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</si>
  <si>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</si>
  <si>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</si>
  <si>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</si>
  <si>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</si>
  <si>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</si>
  <si>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</si>
  <si>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</si>
  <si>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</si>
  <si>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do 23-01-04</t>
  </si>
  <si>
    <t>PAK-PCE BiW / MZGOK</t>
  </si>
  <si>
    <t>stawka VAT =</t>
  </si>
  <si>
    <t>do 23-06-30</t>
  </si>
  <si>
    <t>od 23-07-01</t>
  </si>
  <si>
    <t>Zmiana</t>
  </si>
  <si>
    <t>do 30-06-24</t>
  </si>
  <si>
    <t>od 01-07-24</t>
  </si>
  <si>
    <t>GRUPA A1e</t>
  </si>
  <si>
    <t>II.4.</t>
  </si>
  <si>
    <t>PODSUMOWANIE</t>
  </si>
  <si>
    <t>II.5.</t>
  </si>
  <si>
    <t>GRUPA A4e</t>
  </si>
  <si>
    <t>A1e</t>
  </si>
  <si>
    <t>A4e</t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</si>
  <si>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cieplny - </t>
    </r>
    <r>
      <rPr>
        <b/>
        <sz val="8"/>
        <rFont val="Calibri"/>
        <family val="2"/>
        <charset val="238"/>
        <scheme val="minor"/>
      </rPr>
      <t>ODBIORCY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</si>
  <si>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właściciel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</si>
  <si>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62"/>
        <rFont val="Calibri"/>
        <family val="2"/>
        <charset val="238"/>
        <scheme val="minor"/>
      </rPr>
      <t>Sieć Nr 2</t>
    </r>
    <r>
      <rPr>
        <b/>
        <sz val="8"/>
        <color indexed="5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- </t>
    </r>
    <r>
      <rPr>
        <b/>
        <sz val="8"/>
        <rFont val="Calibri"/>
        <family val="2"/>
        <charset val="238"/>
        <scheme val="minor"/>
      </rPr>
      <t>MPEC-KONIN</t>
    </r>
    <r>
      <rPr>
        <sz val="8"/>
        <rFont val="Calibri"/>
        <family val="2"/>
        <charset val="238"/>
        <scheme val="minor"/>
      </rPr>
      <t xml:space="preserve"> - Rozdzielacz - </t>
    </r>
    <r>
      <rPr>
        <b/>
        <sz val="8"/>
        <rFont val="Calibri"/>
        <family val="2"/>
        <charset val="238"/>
        <scheme val="minor"/>
      </rPr>
      <t>ODBIORCY</t>
    </r>
    <r>
      <rPr>
        <sz val="8"/>
        <rFont val="Calibri"/>
        <family val="2"/>
        <charset val="238"/>
        <scheme val="minor"/>
      </rPr>
      <t xml:space="preserve"> (kotłownia)</t>
    </r>
  </si>
  <si>
    <r>
      <rPr>
        <b/>
        <sz val="8"/>
        <color rgb="FF92D050"/>
        <rFont val="Calibri"/>
        <family val="2"/>
        <charset val="238"/>
        <scheme val="minor"/>
      </rPr>
      <t>Sieć Nr 1</t>
    </r>
    <r>
      <rPr>
        <sz val="8"/>
        <rFont val="Calibri"/>
        <family val="2"/>
        <charset val="238"/>
        <scheme val="minor"/>
      </rPr>
      <t xml:space="preserve"> - Węzeł - właściciel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- koszt energii elektr. - </t>
    </r>
    <r>
      <rPr>
        <b/>
        <sz val="8"/>
        <rFont val="Calibri"/>
        <family val="2"/>
        <charset val="238"/>
        <scheme val="minor"/>
      </rPr>
      <t>MPEC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</si>
  <si>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(węzeł grupowy) 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</si>
  <si>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(węzeł grupowy) - koszty energii elektr. - </t>
    </r>
    <r>
      <rPr>
        <b/>
        <sz val="8"/>
        <rFont val="Calibri"/>
        <family val="2"/>
        <charset val="238"/>
        <scheme val="minor"/>
      </rPr>
      <t>MPEC</t>
    </r>
  </si>
  <si>
    <r>
      <t>Moc zamówiona</t>
    </r>
    <r>
      <rPr>
        <sz val="8"/>
        <rFont val="Calibri"/>
        <family val="2"/>
        <charset val="238"/>
        <scheme val="minor"/>
      </rPr>
      <t xml:space="preserve"> [kW]</t>
    </r>
  </si>
  <si>
    <r>
      <t xml:space="preserve">Zużycie </t>
    </r>
    <r>
      <rPr>
        <sz val="8"/>
        <rFont val="Calibri"/>
        <family val="2"/>
        <charset val="238"/>
        <scheme val="minor"/>
      </rPr>
      <t>[GJ]</t>
    </r>
  </si>
  <si>
    <t>brak</t>
  </si>
  <si>
    <r>
      <rPr>
        <sz val="8"/>
        <color theme="0" tint="-0.499984740745262"/>
        <rFont val="Calibri"/>
        <family val="2"/>
        <charset val="238"/>
        <scheme val="minor"/>
      </rPr>
      <t xml:space="preserve">Zmiana wartości - Arkusz </t>
    </r>
    <r>
      <rPr>
        <b/>
        <sz val="8"/>
        <color theme="0" tint="-0.499984740745262"/>
        <rFont val="Calibri"/>
        <family val="2"/>
        <charset val="238"/>
        <scheme val="minor"/>
      </rPr>
      <t>Kalkulator:</t>
    </r>
  </si>
  <si>
    <t>[mies.]</t>
  </si>
  <si>
    <t>PORÓWNANIE TARYF</t>
  </si>
  <si>
    <t>Grupa A1</t>
  </si>
  <si>
    <t>Grupa A1e</t>
  </si>
  <si>
    <t>Grupa A2/A3</t>
  </si>
  <si>
    <t>Grupa A4</t>
  </si>
  <si>
    <t>Grupa A4e</t>
  </si>
  <si>
    <t>Grupa A5</t>
  </si>
  <si>
    <t>Suma opłat za okres rozliczeniowy</t>
  </si>
  <si>
    <t>Suma opłat Netto</t>
  </si>
  <si>
    <t>Suma opłat Brutto</t>
  </si>
  <si>
    <t>OPŁATY</t>
  </si>
  <si>
    <t>Podaj okres rozliczeniowy i wybierz rodzaj ceny</t>
  </si>
  <si>
    <t xml:space="preserve">    [mies.]</t>
  </si>
  <si>
    <t>AKTUALNA</t>
  </si>
  <si>
    <t>Wybierz grupę</t>
  </si>
  <si>
    <t xml:space="preserve">  [MW]</t>
  </si>
  <si>
    <t xml:space="preserve">  [kWh]</t>
  </si>
  <si>
    <t>POPRZEDNIO</t>
  </si>
  <si>
    <t>do 30-09-25</t>
  </si>
  <si>
    <t>od 01-10-25</t>
  </si>
  <si>
    <t>Zmiana cen energii PAK-PCE Biopaliwa i Wodór Sp. z o.o. od dnia 01-10-2025r.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</si>
</sst>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\ &quot;zł&quot;"/>
    <numFmt numFmtId="166" formatCode="0.0"/>
    <numFmt numFmtId="167" formatCode="#,##0.0000"/>
  </numFmts>
  <fonts count="5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color indexed="47"/>
      <name val="Wingdings"/>
      <charset val="2"/>
    </font>
    <font>
      <sz val="8"/>
      <color rgb="FF00000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color indexed="47"/>
      <name val="Calibri"/>
      <family val="2"/>
      <charset val="238"/>
      <scheme val="minor"/>
    </font>
    <font>
      <sz val="8"/>
      <color indexed="23"/>
      <name val="Calibri"/>
      <family val="2"/>
      <charset val="238"/>
      <scheme val="minor"/>
    </font>
    <font>
      <b/>
      <sz val="8"/>
      <color indexed="2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b/>
      <sz val="8"/>
      <color rgb="FF00B0F0"/>
      <name val="Calibri"/>
      <family val="2"/>
      <charset val="238"/>
      <scheme val="minor"/>
    </font>
    <font>
      <b/>
      <sz val="8"/>
      <color indexed="1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2"/>
      <color indexed="5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Wingdings"/>
      <charset val="2"/>
    </font>
    <font>
      <b/>
      <sz val="12"/>
      <color indexed="4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8"/>
      <color indexed="50"/>
      <name val="Calibri"/>
      <family val="2"/>
      <charset val="238"/>
      <scheme val="minor"/>
    </font>
    <font>
      <b/>
      <sz val="8"/>
      <color indexed="62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"/>
      <color indexed="42"/>
      <name val="Calibri"/>
      <family val="2"/>
      <charset val="238"/>
      <scheme val="minor"/>
    </font>
    <font>
      <b/>
      <sz val="1"/>
      <name val="Calibri"/>
      <family val="2"/>
      <charset val="238"/>
      <scheme val="minor"/>
    </font>
    <font>
      <b/>
      <sz val="10"/>
      <color indexed="50"/>
      <name val="Calibri"/>
      <family val="2"/>
      <charset val="238"/>
      <scheme val="minor"/>
    </font>
    <font>
      <b/>
      <sz val="8"/>
      <color rgb="FF92D050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6" tint="0.59999389629810485"/>
      <name val="Wingdings"/>
      <charset val="2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0"/>
      <color theme="2"/>
      <name val="Wingdings"/>
      <charset val="2"/>
    </font>
    <font>
      <sz val="10"/>
      <color theme="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rgb="FFFFFF99"/>
        </stop>
        <stop position="1">
          <color rgb="FFFFCC00"/>
        </stop>
      </gradientFill>
    </fill>
    <fill>
      <patternFill patternType="solid">
        <fgColor theme="0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rgb="FF00B050"/>
        <bgColor auto="1"/>
      </patternFill>
    </fill>
    <fill>
      <patternFill patternType="solid">
        <fgColor theme="9" tint="0.79998168889431442"/>
        <bgColor auto="1"/>
      </patternFill>
    </fill>
  </fills>
  <borders count="12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horizontal="left" vertical="center"/>
    </xf>
    <xf numFmtId="9" fontId="9" fillId="0" borderId="0" xfId="1" applyFont="1" applyFill="1" applyBorder="1" applyAlignment="1">
      <alignment horizontal="center"/>
    </xf>
    <xf numFmtId="9" fontId="9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3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9" fontId="20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center"/>
    </xf>
    <xf numFmtId="9" fontId="5" fillId="0" borderId="0" xfId="0" applyNumberFormat="1" applyFont="1" applyAlignment="1">
      <alignment vertical="center"/>
    </xf>
    <xf numFmtId="4" fontId="31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vertical="center"/>
    </xf>
    <xf numFmtId="10" fontId="5" fillId="0" borderId="0" xfId="1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 vertical="center"/>
    </xf>
    <xf numFmtId="4" fontId="32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10" fontId="20" fillId="0" borderId="0" xfId="1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9" fontId="7" fillId="0" borderId="0" xfId="1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right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9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right" vertical="center"/>
    </xf>
    <xf numFmtId="10" fontId="17" fillId="0" borderId="0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2" fontId="17" fillId="0" borderId="0" xfId="0" applyNumberFormat="1" applyFont="1" applyFill="1" applyBorder="1" applyAlignment="1">
      <alignment horizontal="right" vertical="center"/>
    </xf>
    <xf numFmtId="0" fontId="45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1" fontId="9" fillId="6" borderId="0" xfId="0" applyNumberFormat="1" applyFont="1" applyFill="1" applyBorder="1" applyAlignment="1">
      <alignment horizontal="left" vertical="center"/>
    </xf>
    <xf numFmtId="1" fontId="10" fillId="6" borderId="0" xfId="0" applyNumberFormat="1" applyFont="1" applyFill="1" applyBorder="1" applyAlignment="1">
      <alignment horizontal="left" vertical="center"/>
    </xf>
    <xf numFmtId="1" fontId="47" fillId="6" borderId="0" xfId="0" applyNumberFormat="1" applyFont="1" applyFill="1" applyBorder="1" applyAlignment="1">
      <alignment horizontal="center" vertical="center"/>
    </xf>
    <xf numFmtId="1" fontId="48" fillId="6" borderId="0" xfId="0" applyNumberFormat="1" applyFont="1" applyFill="1" applyBorder="1" applyAlignment="1">
      <alignment horizontal="left" vertical="center"/>
    </xf>
    <xf numFmtId="1" fontId="9" fillId="6" borderId="0" xfId="0" applyNumberFormat="1" applyFont="1" applyFill="1" applyBorder="1" applyAlignment="1">
      <alignment horizontal="right" vertical="center"/>
    </xf>
    <xf numFmtId="9" fontId="11" fillId="6" borderId="0" xfId="1" applyFont="1" applyFill="1" applyBorder="1" applyAlignment="1">
      <alignment horizontal="left" vertical="center"/>
    </xf>
    <xf numFmtId="1" fontId="24" fillId="4" borderId="0" xfId="0" applyNumberFormat="1" applyFont="1" applyFill="1" applyBorder="1" applyAlignment="1">
      <alignment horizontal="left" vertical="center"/>
    </xf>
    <xf numFmtId="1" fontId="9" fillId="4" borderId="0" xfId="0" applyNumberFormat="1" applyFont="1" applyFill="1" applyBorder="1" applyAlignment="1">
      <alignment horizontal="center" vertical="center"/>
    </xf>
    <xf numFmtId="1" fontId="11" fillId="4" borderId="0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vertical="center"/>
    </xf>
    <xf numFmtId="4" fontId="14" fillId="7" borderId="1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" fontId="16" fillId="7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/>
    </xf>
    <xf numFmtId="1" fontId="40" fillId="4" borderId="0" xfId="0" applyNumberFormat="1" applyFont="1" applyFill="1" applyBorder="1" applyAlignment="1">
      <alignment horizontal="left" vertical="center"/>
    </xf>
    <xf numFmtId="1" fontId="9" fillId="4" borderId="0" xfId="0" applyNumberFormat="1" applyFont="1" applyFill="1" applyBorder="1" applyAlignment="1">
      <alignment horizontal="left" vertical="center"/>
    </xf>
    <xf numFmtId="167" fontId="20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4" fontId="43" fillId="0" borderId="1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4" fontId="42" fillId="0" borderId="2" xfId="0" applyNumberFormat="1" applyFont="1" applyFill="1" applyBorder="1" applyAlignment="1">
      <alignment vertical="center"/>
    </xf>
    <xf numFmtId="1" fontId="9" fillId="0" borderId="3" xfId="0" applyNumberFormat="1" applyFont="1" applyFill="1" applyBorder="1" applyAlignment="1">
      <alignment horizontal="center" vertical="center"/>
    </xf>
    <xf numFmtId="4" fontId="42" fillId="0" borderId="3" xfId="0" applyNumberFormat="1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vertical="center"/>
    </xf>
    <xf numFmtId="4" fontId="44" fillId="0" borderId="2" xfId="0" applyNumberFormat="1" applyFont="1" applyFill="1" applyBorder="1" applyAlignment="1">
      <alignment vertical="center"/>
    </xf>
    <xf numFmtId="4" fontId="44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2" fontId="17" fillId="0" borderId="4" xfId="0" applyNumberFormat="1" applyFont="1" applyFill="1" applyBorder="1" applyAlignment="1">
      <alignment horizontal="right" vertical="center"/>
    </xf>
    <xf numFmtId="4" fontId="31" fillId="0" borderId="4" xfId="0" applyNumberFormat="1" applyFont="1" applyFill="1" applyBorder="1" applyAlignment="1">
      <alignment vertical="center"/>
    </xf>
    <xf numFmtId="4" fontId="25" fillId="0" borderId="4" xfId="0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0" fontId="34" fillId="0" borderId="4" xfId="0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4" fontId="32" fillId="0" borderId="4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vertical="center"/>
    </xf>
    <xf numFmtId="10" fontId="20" fillId="0" borderId="4" xfId="1" applyNumberFormat="1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4" fontId="12" fillId="5" borderId="6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4" fontId="8" fillId="0" borderId="6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9" fontId="17" fillId="0" borderId="8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0" fontId="50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4" fontId="46" fillId="0" borderId="6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436"/>
          <c:y val="0.20588235294117646"/>
          <c:w val="0.24539950812256794"/>
          <c:h val="0.5882352941176337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821467750246874"/>
                  <c:y val="-0.2745098039215688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Kalkulator!$E$24:$F$24</c:f>
              <c:numCache>
                <c:formatCode>0.00</c:formatCode>
                <c:ptCount val="2"/>
                <c:pt idx="0">
                  <c:v>0.7125745510709478</c:v>
                </c:pt>
                <c:pt idx="1">
                  <c:v>0.2874254489290522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199" r="0.7500000000000119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734"/>
          <c:h val="0.5882352941176337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7079762768383763"/>
                  <c:y val="0.2845947197776759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  <c:numFmt formatCode="0%" sourceLinked="0"/>
          </c:dLbls>
          <c:val>
            <c:numRef>
              <c:f>Kalkulator!$E$25:$F$25</c:f>
              <c:numCache>
                <c:formatCode>0.00</c:formatCode>
                <c:ptCount val="2"/>
                <c:pt idx="0">
                  <c:v>0.2884254489290522</c:v>
                </c:pt>
                <c:pt idx="1">
                  <c:v>0.7115745510709478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199" r="0.7500000000000119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11</xdr:row>
      <xdr:rowOff>50259</xdr:rowOff>
    </xdr:from>
    <xdr:to>
      <xdr:col>9</xdr:col>
      <xdr:colOff>710351</xdr:colOff>
      <xdr:row>12</xdr:row>
      <xdr:rowOff>158083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3</xdr:row>
      <xdr:rowOff>56254</xdr:rowOff>
    </xdr:from>
    <xdr:to>
      <xdr:col>10</xdr:col>
      <xdr:colOff>26866</xdr:colOff>
      <xdr:row>5</xdr:row>
      <xdr:rowOff>136196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3</xdr:row>
      <xdr:rowOff>56148</xdr:rowOff>
    </xdr:from>
    <xdr:to>
      <xdr:col>9</xdr:col>
      <xdr:colOff>332303</xdr:colOff>
      <xdr:row>5</xdr:row>
      <xdr:rowOff>106279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206917</xdr:colOff>
      <xdr:row>11</xdr:row>
      <xdr:rowOff>50259</xdr:rowOff>
    </xdr:from>
    <xdr:to>
      <xdr:col>20</xdr:col>
      <xdr:colOff>567476</xdr:colOff>
      <xdr:row>12</xdr:row>
      <xdr:rowOff>158083</xdr:rowOff>
    </xdr:to>
    <xdr:pic>
      <xdr:nvPicPr>
        <xdr:cNvPr id="8" name="Obraz 7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20</xdr:col>
      <xdr:colOff>323828</xdr:colOff>
      <xdr:row>3</xdr:row>
      <xdr:rowOff>56254</xdr:rowOff>
    </xdr:from>
    <xdr:to>
      <xdr:col>21</xdr:col>
      <xdr:colOff>17341</xdr:colOff>
      <xdr:row>5</xdr:row>
      <xdr:rowOff>136196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067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498306</xdr:colOff>
      <xdr:row>3</xdr:row>
      <xdr:rowOff>56148</xdr:rowOff>
    </xdr:from>
    <xdr:to>
      <xdr:col>20</xdr:col>
      <xdr:colOff>322778</xdr:colOff>
      <xdr:row>5</xdr:row>
      <xdr:rowOff>106279</xdr:rowOff>
    </xdr:to>
    <xdr:pic>
      <xdr:nvPicPr>
        <xdr:cNvPr id="13" name="Obraz 12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1274745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545068</xdr:colOff>
      <xdr:row>21</xdr:row>
      <xdr:rowOff>179784</xdr:rowOff>
    </xdr:from>
    <xdr:to>
      <xdr:col>7</xdr:col>
      <xdr:colOff>221478</xdr:colOff>
      <xdr:row>25</xdr:row>
      <xdr:rowOff>65484</xdr:rowOff>
    </xdr:to>
    <xdr:graphicFrame macro="">
      <xdr:nvGraphicFramePr>
        <xdr:cNvPr id="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545069</xdr:colOff>
      <xdr:row>25</xdr:row>
      <xdr:rowOff>186929</xdr:rowOff>
    </xdr:from>
    <xdr:to>
      <xdr:col>7</xdr:col>
      <xdr:colOff>238126</xdr:colOff>
      <xdr:row>29</xdr:row>
      <xdr:rowOff>72629</xdr:rowOff>
    </xdr:to>
    <xdr:graphicFrame macro="">
      <xdr:nvGraphicFramePr>
        <xdr:cNvPr id="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32908</xdr:colOff>
      <xdr:row>27</xdr:row>
      <xdr:rowOff>23134</xdr:rowOff>
    </xdr:from>
    <xdr:to>
      <xdr:col>4</xdr:col>
      <xdr:colOff>471132</xdr:colOff>
      <xdr:row>28</xdr:row>
      <xdr:rowOff>102383</xdr:rowOff>
    </xdr:to>
    <xdr:pic>
      <xdr:nvPicPr>
        <xdr:cNvPr id="6" name="Obraz 5" descr="Logo MPEC new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42683" y="5595259"/>
          <a:ext cx="1152599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33430</xdr:colOff>
      <xdr:row>22</xdr:row>
      <xdr:rowOff>96957</xdr:rowOff>
    </xdr:from>
    <xdr:to>
      <xdr:col>4</xdr:col>
      <xdr:colOff>438691</xdr:colOff>
      <xdr:row>24</xdr:row>
      <xdr:rowOff>112851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57580" y="4335582"/>
          <a:ext cx="405261" cy="3968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7883</xdr:colOff>
      <xdr:row>22</xdr:row>
      <xdr:rowOff>102804</xdr:rowOff>
    </xdr:from>
    <xdr:to>
      <xdr:col>3</xdr:col>
      <xdr:colOff>480055</xdr:colOff>
      <xdr:row>24</xdr:row>
      <xdr:rowOff>88887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9273" b="10741"/>
        <a:stretch>
          <a:fillRect/>
        </a:stretch>
      </xdr:blipFill>
      <xdr:spPr>
        <a:xfrm>
          <a:off x="2017658" y="4722429"/>
          <a:ext cx="472172" cy="36708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W64"/>
  <sheetViews>
    <sheetView showGridLines="0" zoomScaleNormal="100" workbookViewId="0">
      <selection activeCell="B1" sqref="B1"/>
    </sheetView>
  </sheetViews>
  <sheetFormatPr defaultRowHeight="12.75"/>
  <cols>
    <col min="1" max="1" width="4.7109375" style="6" customWidth="1"/>
    <col min="2" max="2" width="4.7109375" style="44" customWidth="1"/>
    <col min="3" max="3" width="15.7109375" style="6" customWidth="1"/>
    <col min="4" max="4" width="10.7109375" style="6" customWidth="1"/>
    <col min="5" max="9" width="9.7109375" style="6" customWidth="1"/>
    <col min="10" max="10" width="10.7109375" style="6" customWidth="1"/>
    <col min="11" max="13" width="4.7109375" style="6" customWidth="1"/>
    <col min="14" max="14" width="15.7109375" style="6" customWidth="1"/>
    <col min="15" max="15" width="10.7109375" style="6" customWidth="1"/>
    <col min="16" max="20" width="9.7109375" style="6" customWidth="1"/>
    <col min="21" max="21" width="10.7109375" style="6" customWidth="1"/>
    <col min="22" max="22" width="4.7109375" style="6" customWidth="1"/>
    <col min="23" max="16384" width="9.140625" style="6"/>
  </cols>
  <sheetData>
    <row r="1" spans="1:22" ht="12.75" customHeight="1">
      <c r="A1" s="113" t="s">
        <v>38</v>
      </c>
      <c r="B1" s="114"/>
      <c r="C1" s="115" t="s">
        <v>42</v>
      </c>
      <c r="D1" s="116"/>
      <c r="E1" s="116"/>
      <c r="F1" s="116"/>
      <c r="G1" s="116"/>
      <c r="H1" s="116"/>
      <c r="I1" s="117" t="s">
        <v>40</v>
      </c>
      <c r="J1" s="118">
        <v>45931</v>
      </c>
      <c r="K1" s="119"/>
      <c r="L1" s="113" t="s">
        <v>38</v>
      </c>
      <c r="M1" s="114"/>
      <c r="N1" s="115" t="s">
        <v>42</v>
      </c>
      <c r="O1" s="116"/>
      <c r="P1" s="116"/>
      <c r="Q1" s="116"/>
      <c r="R1" s="116"/>
      <c r="S1" s="116"/>
      <c r="T1" s="117" t="s">
        <v>40</v>
      </c>
      <c r="U1" s="118">
        <f>J1</f>
        <v>45931</v>
      </c>
      <c r="V1" s="119"/>
    </row>
    <row r="2" spans="1:22" ht="18" customHeight="1">
      <c r="A2" s="120"/>
      <c r="B2" s="66"/>
      <c r="C2" s="67" t="s">
        <v>31</v>
      </c>
      <c r="D2" s="66"/>
      <c r="E2" s="66"/>
      <c r="F2" s="66"/>
      <c r="G2" s="66"/>
      <c r="H2" s="66"/>
      <c r="I2" s="66"/>
      <c r="J2" s="68">
        <v>2025</v>
      </c>
      <c r="K2" s="121"/>
      <c r="L2" s="120"/>
      <c r="M2" s="66"/>
      <c r="N2" s="67" t="s">
        <v>31</v>
      </c>
      <c r="O2" s="66"/>
      <c r="P2" s="66"/>
      <c r="Q2" s="66"/>
      <c r="R2" s="66"/>
      <c r="S2" s="66"/>
      <c r="T2" s="66"/>
      <c r="U2" s="68">
        <f>J2</f>
        <v>2025</v>
      </c>
      <c r="V2" s="121"/>
    </row>
    <row r="3" spans="1:22" ht="18" customHeight="1">
      <c r="A3" s="120"/>
      <c r="B3" s="66"/>
      <c r="C3" s="69" t="s">
        <v>32</v>
      </c>
      <c r="D3" s="66"/>
      <c r="E3" s="66"/>
      <c r="F3" s="66"/>
      <c r="G3" s="66"/>
      <c r="H3" s="66"/>
      <c r="I3" s="70" t="s">
        <v>57</v>
      </c>
      <c r="J3" s="71">
        <v>0.23</v>
      </c>
      <c r="K3" s="121"/>
      <c r="L3" s="120"/>
      <c r="M3" s="66"/>
      <c r="N3" s="69" t="s">
        <v>32</v>
      </c>
      <c r="O3" s="66"/>
      <c r="P3" s="66"/>
      <c r="Q3" s="66"/>
      <c r="R3" s="66"/>
      <c r="S3" s="66"/>
      <c r="T3" s="70" t="s">
        <v>57</v>
      </c>
      <c r="U3" s="71">
        <f>J3</f>
        <v>0.23</v>
      </c>
      <c r="V3" s="121"/>
    </row>
    <row r="4" spans="1:22" ht="12.75" customHeight="1">
      <c r="A4" s="120"/>
      <c r="B4" s="16"/>
      <c r="C4" s="17" t="s">
        <v>41</v>
      </c>
      <c r="D4" s="15"/>
      <c r="E4" s="15"/>
      <c r="F4" s="1"/>
      <c r="G4" s="15"/>
      <c r="H4" s="15"/>
      <c r="I4" s="15"/>
      <c r="J4" s="19"/>
      <c r="K4" s="121"/>
      <c r="L4" s="120"/>
      <c r="M4" s="16"/>
      <c r="N4" s="17"/>
      <c r="O4" s="15"/>
      <c r="P4" s="15"/>
      <c r="Q4" s="1"/>
      <c r="R4" s="15"/>
      <c r="S4" s="15"/>
      <c r="T4" s="15"/>
      <c r="U4" s="19"/>
      <c r="V4" s="121"/>
    </row>
    <row r="5" spans="1:22" ht="12.75" customHeight="1">
      <c r="A5" s="120"/>
      <c r="B5" s="21"/>
      <c r="C5" s="18" t="s">
        <v>101</v>
      </c>
      <c r="D5" s="15"/>
      <c r="E5" s="15"/>
      <c r="F5" s="15"/>
      <c r="G5" s="15"/>
      <c r="H5" s="15"/>
      <c r="I5" s="7"/>
      <c r="J5" s="7"/>
      <c r="K5" s="121"/>
      <c r="L5" s="120"/>
      <c r="M5" s="59" t="s">
        <v>79</v>
      </c>
      <c r="N5" s="15"/>
      <c r="O5" s="15"/>
      <c r="P5" s="19" t="s">
        <v>76</v>
      </c>
      <c r="Q5" s="87">
        <f>Kalkulator!F8</f>
        <v>5</v>
      </c>
      <c r="R5" s="19" t="s">
        <v>77</v>
      </c>
      <c r="S5" s="87">
        <f>Kalkulator!F11</f>
        <v>10</v>
      </c>
      <c r="T5" s="7"/>
      <c r="U5" s="7"/>
      <c r="V5" s="121"/>
    </row>
    <row r="6" spans="1:22" ht="12.75" customHeight="1">
      <c r="A6" s="120"/>
      <c r="B6" s="45"/>
      <c r="C6" s="46"/>
      <c r="D6" s="47"/>
      <c r="E6" s="2"/>
      <c r="F6" s="15"/>
      <c r="G6" s="48"/>
      <c r="H6" s="14"/>
      <c r="I6" s="7"/>
      <c r="J6" s="7"/>
      <c r="K6" s="121"/>
      <c r="L6" s="120"/>
      <c r="M6" s="45"/>
      <c r="N6" s="46"/>
      <c r="O6" s="47"/>
      <c r="P6" s="49"/>
      <c r="Q6" s="15"/>
      <c r="R6" s="48"/>
      <c r="S6" s="14"/>
      <c r="T6" s="7"/>
      <c r="U6" s="7"/>
      <c r="V6" s="121"/>
    </row>
    <row r="7" spans="1:22" ht="12.75" customHeight="1">
      <c r="A7" s="120"/>
      <c r="B7" s="72" t="s">
        <v>16</v>
      </c>
      <c r="C7" s="72" t="s">
        <v>56</v>
      </c>
      <c r="D7" s="72"/>
      <c r="E7" s="73" t="s">
        <v>2</v>
      </c>
      <c r="F7" s="73"/>
      <c r="G7" s="74" t="s">
        <v>3</v>
      </c>
      <c r="H7" s="73"/>
      <c r="I7" s="73"/>
      <c r="J7" s="73"/>
      <c r="K7" s="121"/>
      <c r="L7" s="120"/>
      <c r="M7" s="72" t="s">
        <v>16</v>
      </c>
      <c r="N7" s="72" t="s">
        <v>56</v>
      </c>
      <c r="O7" s="72"/>
      <c r="P7" s="73" t="s">
        <v>2</v>
      </c>
      <c r="Q7" s="73"/>
      <c r="R7" s="74" t="s">
        <v>3</v>
      </c>
      <c r="S7" s="73"/>
      <c r="T7" s="73"/>
      <c r="U7" s="73"/>
      <c r="V7" s="121"/>
    </row>
    <row r="8" spans="1:22" ht="12.75" customHeight="1">
      <c r="A8" s="120"/>
      <c r="B8" s="16" t="s">
        <v>0</v>
      </c>
      <c r="C8" s="7" t="s">
        <v>11</v>
      </c>
      <c r="D8" s="16" t="s">
        <v>1</v>
      </c>
      <c r="E8" s="50" t="s">
        <v>99</v>
      </c>
      <c r="F8" s="51" t="s">
        <v>100</v>
      </c>
      <c r="G8" s="50" t="s">
        <v>99</v>
      </c>
      <c r="H8" s="51" t="s">
        <v>100</v>
      </c>
      <c r="I8" s="10" t="s">
        <v>60</v>
      </c>
      <c r="J8" s="23" t="s">
        <v>33</v>
      </c>
      <c r="K8" s="121"/>
      <c r="L8" s="120"/>
      <c r="M8" s="16" t="s">
        <v>0</v>
      </c>
      <c r="N8" s="7" t="s">
        <v>11</v>
      </c>
      <c r="O8" s="16" t="s">
        <v>1</v>
      </c>
      <c r="P8" s="50" t="str">
        <f>E8</f>
        <v>do 30-09-25</v>
      </c>
      <c r="Q8" s="51" t="str">
        <f t="shared" ref="Q8:S8" si="0">F8</f>
        <v>od 01-10-25</v>
      </c>
      <c r="R8" s="50" t="str">
        <f t="shared" si="0"/>
        <v>do 30-09-25</v>
      </c>
      <c r="S8" s="51" t="str">
        <f t="shared" si="0"/>
        <v>od 01-10-25</v>
      </c>
      <c r="T8" s="10" t="s">
        <v>60</v>
      </c>
      <c r="U8" s="23" t="s">
        <v>33</v>
      </c>
      <c r="V8" s="121"/>
    </row>
    <row r="9" spans="1:22" ht="12.75" customHeight="1">
      <c r="A9" s="120"/>
      <c r="B9" s="16">
        <v>1</v>
      </c>
      <c r="C9" s="7" t="s">
        <v>9</v>
      </c>
      <c r="D9" s="10" t="s">
        <v>5</v>
      </c>
      <c r="E9" s="75">
        <v>290875.3</v>
      </c>
      <c r="F9" s="76">
        <v>293514.59000000003</v>
      </c>
      <c r="G9" s="77">
        <f t="shared" ref="G9:H12" si="1">E9*(1+$J$3)</f>
        <v>357776.61900000001</v>
      </c>
      <c r="H9" s="78">
        <f t="shared" si="1"/>
        <v>361022.94570000004</v>
      </c>
      <c r="I9" s="52">
        <f t="shared" ref="I9" si="2">IF(G9&gt;0,H9/G9-1,"")</f>
        <v>9.0736133318987111E-3</v>
      </c>
      <c r="J9" s="53">
        <f t="shared" ref="J9" si="3">IF(G9&gt;0,H9-G9,"")</f>
        <v>3246.3267000000342</v>
      </c>
      <c r="K9" s="133" t="str">
        <f>IF(H9&lt;&gt;G9,"þ"," ")</f>
        <v>þ</v>
      </c>
      <c r="L9" s="120"/>
      <c r="M9" s="16">
        <v>1</v>
      </c>
      <c r="N9" s="7" t="s">
        <v>9</v>
      </c>
      <c r="O9" s="10" t="s">
        <v>5</v>
      </c>
      <c r="P9" s="75">
        <f t="shared" ref="P9:S10" si="4">$Q$5*E9/1000</f>
        <v>1454.3765000000001</v>
      </c>
      <c r="Q9" s="76">
        <f t="shared" si="4"/>
        <v>1467.5729500000002</v>
      </c>
      <c r="R9" s="77">
        <f t="shared" si="4"/>
        <v>1788.8830949999999</v>
      </c>
      <c r="S9" s="78">
        <f t="shared" si="4"/>
        <v>1805.1147285000002</v>
      </c>
      <c r="T9" s="52">
        <f t="shared" ref="T9:T12" si="5">IF(R9&gt;0,S9/R9-1,"")</f>
        <v>9.0736133318987111E-3</v>
      </c>
      <c r="U9" s="53">
        <f t="shared" ref="U9:U12" si="6">IF(R9&gt;0,S9-R9,"")</f>
        <v>16.231633500000271</v>
      </c>
      <c r="V9" s="133" t="str">
        <f>IF(S9&lt;&gt;R9,"þ"," ")</f>
        <v>þ</v>
      </c>
    </row>
    <row r="10" spans="1:22" ht="12.75" customHeight="1">
      <c r="A10" s="120"/>
      <c r="B10" s="16"/>
      <c r="C10" s="7"/>
      <c r="D10" s="10" t="s">
        <v>6</v>
      </c>
      <c r="E10" s="75">
        <v>24239.61</v>
      </c>
      <c r="F10" s="76">
        <v>24459.55</v>
      </c>
      <c r="G10" s="77">
        <f t="shared" si="1"/>
        <v>29814.720300000001</v>
      </c>
      <c r="H10" s="78">
        <f t="shared" si="1"/>
        <v>30085.246499999997</v>
      </c>
      <c r="I10" s="52">
        <f t="shared" ref="I10:I12" si="7">IF(G10&gt;0,H10/G10-1,"")</f>
        <v>9.0735783290241123E-3</v>
      </c>
      <c r="J10" s="53">
        <f t="shared" ref="J10:J12" si="8">IF(G10&gt;0,H10-G10,"")</f>
        <v>270.52619999999661</v>
      </c>
      <c r="K10" s="133" t="str">
        <f>IF(H10&lt;&gt;G10,"þ"," ")</f>
        <v>þ</v>
      </c>
      <c r="L10" s="120"/>
      <c r="M10" s="16"/>
      <c r="N10" s="7"/>
      <c r="O10" s="10" t="s">
        <v>6</v>
      </c>
      <c r="P10" s="75">
        <f t="shared" si="4"/>
        <v>121.19805000000001</v>
      </c>
      <c r="Q10" s="76">
        <f t="shared" si="4"/>
        <v>122.29774999999999</v>
      </c>
      <c r="R10" s="77">
        <f t="shared" si="4"/>
        <v>149.0736015</v>
      </c>
      <c r="S10" s="78">
        <f t="shared" si="4"/>
        <v>150.4262325</v>
      </c>
      <c r="T10" s="52">
        <f t="shared" si="5"/>
        <v>9.0735783290243344E-3</v>
      </c>
      <c r="U10" s="53">
        <f t="shared" si="6"/>
        <v>1.3526310000000024</v>
      </c>
      <c r="V10" s="133" t="str">
        <f>IF(S10&lt;&gt;R10,"þ"," ")</f>
        <v>þ</v>
      </c>
    </row>
    <row r="11" spans="1:22" ht="12.75" customHeight="1">
      <c r="A11" s="120"/>
      <c r="B11" s="16">
        <v>2</v>
      </c>
      <c r="C11" s="7" t="s">
        <v>10</v>
      </c>
      <c r="D11" s="10" t="s">
        <v>7</v>
      </c>
      <c r="E11" s="75">
        <v>50.31</v>
      </c>
      <c r="F11" s="76">
        <v>49.8</v>
      </c>
      <c r="G11" s="77">
        <f t="shared" si="1"/>
        <v>61.881300000000003</v>
      </c>
      <c r="H11" s="78">
        <f t="shared" si="1"/>
        <v>61.253999999999998</v>
      </c>
      <c r="I11" s="52">
        <f t="shared" si="7"/>
        <v>-1.0137149672033496E-2</v>
      </c>
      <c r="J11" s="53">
        <f t="shared" si="8"/>
        <v>-0.6273000000000053</v>
      </c>
      <c r="K11" s="133" t="str">
        <f>IF(H11&lt;&gt;G11,"þ"," ")</f>
        <v>þ</v>
      </c>
      <c r="L11" s="120"/>
      <c r="M11" s="16">
        <v>2</v>
      </c>
      <c r="N11" s="7" t="s">
        <v>10</v>
      </c>
      <c r="O11" s="10" t="s">
        <v>7</v>
      </c>
      <c r="P11" s="75">
        <f>$S$5*E11</f>
        <v>503.1</v>
      </c>
      <c r="Q11" s="76">
        <f>$S$5*F11</f>
        <v>498</v>
      </c>
      <c r="R11" s="77">
        <f>$S$5*G11</f>
        <v>618.81299999999999</v>
      </c>
      <c r="S11" s="78">
        <f>$S$5*H11</f>
        <v>612.54</v>
      </c>
      <c r="T11" s="52">
        <f t="shared" si="5"/>
        <v>-1.0137149672033385E-2</v>
      </c>
      <c r="U11" s="53">
        <f t="shared" si="6"/>
        <v>-6.2730000000000246</v>
      </c>
      <c r="V11" s="133" t="str">
        <f>IF(S11&lt;&gt;R11,"þ"," ")</f>
        <v>þ</v>
      </c>
    </row>
    <row r="12" spans="1:22" ht="12.75" customHeight="1">
      <c r="A12" s="120"/>
      <c r="B12" s="16">
        <v>3</v>
      </c>
      <c r="C12" s="7" t="s">
        <v>4</v>
      </c>
      <c r="D12" s="10" t="s">
        <v>8</v>
      </c>
      <c r="E12" s="75">
        <v>13</v>
      </c>
      <c r="F12" s="76">
        <v>13.33</v>
      </c>
      <c r="G12" s="77">
        <f t="shared" si="1"/>
        <v>15.99</v>
      </c>
      <c r="H12" s="78">
        <f t="shared" si="1"/>
        <v>16.395900000000001</v>
      </c>
      <c r="I12" s="54">
        <f t="shared" si="7"/>
        <v>2.5384615384615339E-2</v>
      </c>
      <c r="J12" s="55">
        <f t="shared" si="8"/>
        <v>0.40590000000000082</v>
      </c>
      <c r="K12" s="133" t="str">
        <f>IF(H12&lt;&gt;G12,"þ"," ")</f>
        <v>þ</v>
      </c>
      <c r="L12" s="120"/>
      <c r="M12" s="16">
        <v>3</v>
      </c>
      <c r="N12" s="7" t="s">
        <v>4</v>
      </c>
      <c r="O12" s="10" t="s">
        <v>8</v>
      </c>
      <c r="P12" s="75"/>
      <c r="Q12" s="79"/>
      <c r="R12" s="77"/>
      <c r="S12" s="80"/>
      <c r="T12" s="54" t="str">
        <f t="shared" si="5"/>
        <v/>
      </c>
      <c r="U12" s="55" t="str">
        <f t="shared" si="6"/>
        <v/>
      </c>
      <c r="V12" s="134" t="str">
        <f>IF(S12&lt;&gt;R12,"þ"," ")</f>
        <v xml:space="preserve"> </v>
      </c>
    </row>
    <row r="13" spans="1:22" ht="12.75" customHeight="1">
      <c r="A13" s="120"/>
      <c r="B13" s="3" t="s">
        <v>43</v>
      </c>
      <c r="C13" s="46"/>
      <c r="D13" s="56"/>
      <c r="E13" s="7"/>
      <c r="F13" s="7"/>
      <c r="G13" s="7"/>
      <c r="H13" s="7"/>
      <c r="I13" s="7"/>
      <c r="J13" s="7"/>
      <c r="K13" s="133"/>
      <c r="L13" s="120"/>
      <c r="M13" s="3" t="s">
        <v>43</v>
      </c>
      <c r="N13" s="46"/>
      <c r="O13" s="56"/>
      <c r="P13" s="7"/>
      <c r="Q13" s="7"/>
      <c r="R13" s="7"/>
      <c r="S13" s="7"/>
      <c r="T13" s="7"/>
      <c r="U13" s="7"/>
      <c r="V13" s="135"/>
    </row>
    <row r="14" spans="1:22" ht="12.75" customHeight="1">
      <c r="A14" s="120"/>
      <c r="B14" s="72" t="s">
        <v>20</v>
      </c>
      <c r="C14" s="72" t="s">
        <v>15</v>
      </c>
      <c r="D14" s="72" t="s">
        <v>48</v>
      </c>
      <c r="E14" s="73" t="s">
        <v>2</v>
      </c>
      <c r="F14" s="73"/>
      <c r="G14" s="74" t="s">
        <v>3</v>
      </c>
      <c r="H14" s="73"/>
      <c r="I14" s="73"/>
      <c r="J14" s="73"/>
      <c r="K14" s="133"/>
      <c r="L14" s="120"/>
      <c r="M14" s="72" t="s">
        <v>20</v>
      </c>
      <c r="N14" s="72" t="s">
        <v>15</v>
      </c>
      <c r="O14" s="72" t="s">
        <v>48</v>
      </c>
      <c r="P14" s="73" t="s">
        <v>2</v>
      </c>
      <c r="Q14" s="73"/>
      <c r="R14" s="74" t="s">
        <v>3</v>
      </c>
      <c r="S14" s="73"/>
      <c r="T14" s="73"/>
      <c r="U14" s="73"/>
      <c r="V14" s="121"/>
    </row>
    <row r="15" spans="1:22" ht="12.75" customHeight="1">
      <c r="A15" s="120"/>
      <c r="B15" s="16"/>
      <c r="C15" s="7"/>
      <c r="D15" s="16"/>
      <c r="E15" s="58" t="s">
        <v>61</v>
      </c>
      <c r="F15" s="51" t="s">
        <v>62</v>
      </c>
      <c r="G15" s="58" t="s">
        <v>61</v>
      </c>
      <c r="H15" s="51" t="s">
        <v>62</v>
      </c>
      <c r="I15" s="64" t="s">
        <v>60</v>
      </c>
      <c r="J15" s="65" t="s">
        <v>33</v>
      </c>
      <c r="K15" s="133"/>
      <c r="L15" s="120"/>
      <c r="M15" s="16"/>
      <c r="N15" s="7"/>
      <c r="O15" s="16"/>
      <c r="P15" s="58" t="str">
        <f>E15</f>
        <v>do 30-06-24</v>
      </c>
      <c r="Q15" s="51" t="str">
        <f t="shared" ref="Q15" si="9">F15</f>
        <v>od 01-07-24</v>
      </c>
      <c r="R15" s="58" t="str">
        <f t="shared" ref="R15" si="10">G15</f>
        <v>do 30-06-24</v>
      </c>
      <c r="S15" s="51" t="str">
        <f t="shared" ref="S15" si="11">H15</f>
        <v>od 01-07-24</v>
      </c>
      <c r="T15" s="64" t="s">
        <v>60</v>
      </c>
      <c r="U15" s="65" t="s">
        <v>33</v>
      </c>
      <c r="V15" s="121"/>
    </row>
    <row r="16" spans="1:22" ht="12.75" customHeight="1">
      <c r="A16" s="120"/>
      <c r="B16" s="16">
        <v>1</v>
      </c>
      <c r="C16" s="7" t="s">
        <v>12</v>
      </c>
      <c r="D16" s="10" t="s">
        <v>5</v>
      </c>
      <c r="E16" s="81">
        <v>96250.74</v>
      </c>
      <c r="F16" s="79">
        <v>96250.74</v>
      </c>
      <c r="G16" s="82">
        <f t="shared" ref="G16:H18" si="12">E16*(1+$J$3)</f>
        <v>118388.4102</v>
      </c>
      <c r="H16" s="80">
        <f t="shared" si="12"/>
        <v>118388.4102</v>
      </c>
      <c r="I16" s="54">
        <f t="shared" ref="I16:I18" si="13">IF(G16&gt;0,H16/G16-1,"")</f>
        <v>0</v>
      </c>
      <c r="J16" s="55">
        <f t="shared" ref="J16:J18" si="14">IF(G16&gt;0,H16-G16,"")</f>
        <v>0</v>
      </c>
      <c r="K16" s="133" t="str">
        <f>IF(H16&lt;&gt;G16,"þ"," ")</f>
        <v xml:space="preserve"> </v>
      </c>
      <c r="L16" s="120"/>
      <c r="M16" s="16">
        <v>1</v>
      </c>
      <c r="N16" s="7" t="s">
        <v>12</v>
      </c>
      <c r="O16" s="10" t="s">
        <v>5</v>
      </c>
      <c r="P16" s="81">
        <f t="shared" ref="P16:S17" si="15">$Q$5*E16/1000</f>
        <v>481.25370000000004</v>
      </c>
      <c r="Q16" s="79">
        <f t="shared" si="15"/>
        <v>481.25370000000004</v>
      </c>
      <c r="R16" s="82">
        <f t="shared" si="15"/>
        <v>591.94205099999999</v>
      </c>
      <c r="S16" s="80">
        <f t="shared" si="15"/>
        <v>591.94205099999999</v>
      </c>
      <c r="T16" s="54">
        <f t="shared" ref="T16:T18" si="16">IF(R16&gt;0,S16/R16-1,"")</f>
        <v>0</v>
      </c>
      <c r="U16" s="55">
        <f t="shared" ref="U16:U18" si="17">IF(R16&gt;0,S16-R16,"")</f>
        <v>0</v>
      </c>
      <c r="V16" s="133" t="str">
        <f>IF(S16&lt;&gt;R16,"þ"," ")</f>
        <v xml:space="preserve"> </v>
      </c>
    </row>
    <row r="17" spans="1:23" ht="12.75" customHeight="1">
      <c r="A17" s="120"/>
      <c r="B17" s="16"/>
      <c r="C17" s="7"/>
      <c r="D17" s="10" t="s">
        <v>6</v>
      </c>
      <c r="E17" s="81">
        <v>8020.9</v>
      </c>
      <c r="F17" s="79">
        <v>8020.9</v>
      </c>
      <c r="G17" s="82">
        <f t="shared" si="12"/>
        <v>9865.7069999999985</v>
      </c>
      <c r="H17" s="80">
        <f t="shared" si="12"/>
        <v>9865.7069999999985</v>
      </c>
      <c r="I17" s="54">
        <f t="shared" si="13"/>
        <v>0</v>
      </c>
      <c r="J17" s="55">
        <f t="shared" si="14"/>
        <v>0</v>
      </c>
      <c r="K17" s="133" t="str">
        <f>IF(H17&lt;&gt;G17,"þ"," ")</f>
        <v xml:space="preserve"> </v>
      </c>
      <c r="L17" s="120"/>
      <c r="M17" s="16"/>
      <c r="N17" s="7"/>
      <c r="O17" s="10" t="s">
        <v>6</v>
      </c>
      <c r="P17" s="81">
        <f t="shared" si="15"/>
        <v>40.104500000000002</v>
      </c>
      <c r="Q17" s="79">
        <f t="shared" si="15"/>
        <v>40.104500000000002</v>
      </c>
      <c r="R17" s="82">
        <f t="shared" si="15"/>
        <v>49.328534999999988</v>
      </c>
      <c r="S17" s="80">
        <f t="shared" si="15"/>
        <v>49.328534999999988</v>
      </c>
      <c r="T17" s="54">
        <f t="shared" si="16"/>
        <v>0</v>
      </c>
      <c r="U17" s="55">
        <f t="shared" si="17"/>
        <v>0</v>
      </c>
      <c r="V17" s="124" t="str">
        <f>IF(S17&lt;&gt;R17,"þ"," ")</f>
        <v xml:space="preserve"> </v>
      </c>
    </row>
    <row r="18" spans="1:23" ht="12.75" customHeight="1">
      <c r="A18" s="120"/>
      <c r="B18" s="16">
        <v>2</v>
      </c>
      <c r="C18" s="7" t="s">
        <v>13</v>
      </c>
      <c r="D18" s="10" t="s">
        <v>7</v>
      </c>
      <c r="E18" s="81">
        <v>21.01</v>
      </c>
      <c r="F18" s="79">
        <v>21.01</v>
      </c>
      <c r="G18" s="82">
        <f t="shared" si="12"/>
        <v>25.842300000000002</v>
      </c>
      <c r="H18" s="80">
        <f t="shared" si="12"/>
        <v>25.842300000000002</v>
      </c>
      <c r="I18" s="54">
        <f t="shared" si="13"/>
        <v>0</v>
      </c>
      <c r="J18" s="55">
        <f t="shared" si="14"/>
        <v>0</v>
      </c>
      <c r="K18" s="133" t="str">
        <f>IF(H18&lt;&gt;G18,"þ"," ")</f>
        <v xml:space="preserve"> </v>
      </c>
      <c r="L18" s="120"/>
      <c r="M18" s="16">
        <v>2</v>
      </c>
      <c r="N18" s="7" t="s">
        <v>13</v>
      </c>
      <c r="O18" s="10" t="s">
        <v>7</v>
      </c>
      <c r="P18" s="81">
        <f>$S$5*E18</f>
        <v>210.10000000000002</v>
      </c>
      <c r="Q18" s="79">
        <f>$S$5*F18</f>
        <v>210.10000000000002</v>
      </c>
      <c r="R18" s="82">
        <f>$S$5*G18</f>
        <v>258.423</v>
      </c>
      <c r="S18" s="80">
        <f>$S$5*H18</f>
        <v>258.423</v>
      </c>
      <c r="T18" s="54">
        <f t="shared" si="16"/>
        <v>0</v>
      </c>
      <c r="U18" s="55">
        <f t="shared" si="17"/>
        <v>0</v>
      </c>
      <c r="V18" s="124" t="str">
        <f>IF(S18&lt;&gt;R18,"þ"," ")</f>
        <v xml:space="preserve"> </v>
      </c>
    </row>
    <row r="19" spans="1:23" ht="5.0999999999999996" customHeight="1">
      <c r="A19" s="120"/>
      <c r="B19" s="45"/>
      <c r="C19" s="46"/>
      <c r="D19" s="56"/>
      <c r="E19" s="7"/>
      <c r="F19" s="7"/>
      <c r="G19" s="7"/>
      <c r="H19" s="7"/>
      <c r="I19" s="7"/>
      <c r="J19" s="7"/>
      <c r="K19" s="133"/>
      <c r="L19" s="120"/>
      <c r="M19" s="45"/>
      <c r="N19" s="46"/>
      <c r="O19" s="56"/>
      <c r="P19" s="7"/>
      <c r="Q19" s="7"/>
      <c r="R19" s="7"/>
      <c r="S19" s="7"/>
      <c r="T19" s="7"/>
      <c r="U19" s="7"/>
      <c r="V19" s="136"/>
    </row>
    <row r="20" spans="1:23" ht="12.75" customHeight="1">
      <c r="A20" s="120"/>
      <c r="B20" s="72" t="s">
        <v>21</v>
      </c>
      <c r="C20" s="72" t="s">
        <v>15</v>
      </c>
      <c r="D20" s="72" t="s">
        <v>63</v>
      </c>
      <c r="E20" s="73" t="s">
        <v>2</v>
      </c>
      <c r="F20" s="73"/>
      <c r="G20" s="74" t="s">
        <v>3</v>
      </c>
      <c r="H20" s="73"/>
      <c r="I20" s="73"/>
      <c r="J20" s="73"/>
      <c r="K20" s="133"/>
      <c r="L20" s="120"/>
      <c r="M20" s="72" t="s">
        <v>21</v>
      </c>
      <c r="N20" s="72" t="s">
        <v>15</v>
      </c>
      <c r="O20" s="72" t="s">
        <v>63</v>
      </c>
      <c r="P20" s="73" t="s">
        <v>2</v>
      </c>
      <c r="Q20" s="73"/>
      <c r="R20" s="74" t="s">
        <v>3</v>
      </c>
      <c r="S20" s="73"/>
      <c r="T20" s="73"/>
      <c r="U20" s="73"/>
      <c r="V20" s="121"/>
    </row>
    <row r="21" spans="1:23" ht="12.75" customHeight="1">
      <c r="A21" s="120"/>
      <c r="B21" s="16"/>
      <c r="C21" s="7"/>
      <c r="D21" s="16"/>
      <c r="E21" s="58" t="s">
        <v>78</v>
      </c>
      <c r="F21" s="51" t="s">
        <v>62</v>
      </c>
      <c r="G21" s="58" t="s">
        <v>78</v>
      </c>
      <c r="H21" s="51" t="s">
        <v>62</v>
      </c>
      <c r="I21" s="64" t="s">
        <v>60</v>
      </c>
      <c r="J21" s="65" t="s">
        <v>33</v>
      </c>
      <c r="K21" s="133"/>
      <c r="L21" s="120"/>
      <c r="M21" s="16"/>
      <c r="N21" s="7"/>
      <c r="O21" s="16"/>
      <c r="P21" s="58" t="str">
        <f>E21</f>
        <v>brak</v>
      </c>
      <c r="Q21" s="51" t="str">
        <f t="shared" ref="Q21" si="18">F21</f>
        <v>od 01-07-24</v>
      </c>
      <c r="R21" s="58" t="str">
        <f t="shared" ref="R21" si="19">G21</f>
        <v>brak</v>
      </c>
      <c r="S21" s="51" t="str">
        <f t="shared" ref="S21" si="20">H21</f>
        <v>od 01-07-24</v>
      </c>
      <c r="T21" s="64" t="s">
        <v>60</v>
      </c>
      <c r="U21" s="65" t="s">
        <v>33</v>
      </c>
      <c r="V21" s="121"/>
    </row>
    <row r="22" spans="1:23" ht="12.75" customHeight="1">
      <c r="A22" s="120"/>
      <c r="B22" s="16">
        <v>1</v>
      </c>
      <c r="C22" s="7" t="s">
        <v>12</v>
      </c>
      <c r="D22" s="10" t="s">
        <v>5</v>
      </c>
      <c r="E22" s="81">
        <v>102111.02</v>
      </c>
      <c r="F22" s="79">
        <v>102111.02</v>
      </c>
      <c r="G22" s="82">
        <f t="shared" ref="G22:G24" si="21">E22*(1+$J$3)</f>
        <v>125596.5546</v>
      </c>
      <c r="H22" s="80">
        <f t="shared" ref="H22:H24" si="22">F22*(1+$J$3)</f>
        <v>125596.5546</v>
      </c>
      <c r="I22" s="54">
        <f t="shared" ref="I22:I24" si="23">IF(G22&gt;0,H22/G22-1,"")</f>
        <v>0</v>
      </c>
      <c r="J22" s="55">
        <f t="shared" ref="J22:J24" si="24">IF(G22&gt;0,H22-G22,"")</f>
        <v>0</v>
      </c>
      <c r="K22" s="133" t="str">
        <f t="shared" ref="K22:K24" si="25">IF(H22&lt;&gt;G22,"þ"," ")</f>
        <v xml:space="preserve"> </v>
      </c>
      <c r="L22" s="120"/>
      <c r="M22" s="16">
        <v>1</v>
      </c>
      <c r="N22" s="7" t="s">
        <v>12</v>
      </c>
      <c r="O22" s="10" t="s">
        <v>5</v>
      </c>
      <c r="P22" s="81">
        <f t="shared" ref="P22:S23" si="26">$Q$5*E22/1000</f>
        <v>510.55510000000004</v>
      </c>
      <c r="Q22" s="79">
        <f t="shared" si="26"/>
        <v>510.55510000000004</v>
      </c>
      <c r="R22" s="82">
        <f t="shared" si="26"/>
        <v>627.98277300000007</v>
      </c>
      <c r="S22" s="80">
        <f t="shared" si="26"/>
        <v>627.98277300000007</v>
      </c>
      <c r="T22" s="54">
        <f t="shared" ref="T22:T24" si="27">IF(R22&gt;0,S22/R22-1,"")</f>
        <v>0</v>
      </c>
      <c r="U22" s="55">
        <f t="shared" ref="U22:U24" si="28">IF(R22&gt;0,S22-R22,"")</f>
        <v>0</v>
      </c>
      <c r="V22" s="133" t="str">
        <f t="shared" ref="V22:V24" si="29">IF(S22&lt;&gt;R22,"þ"," ")</f>
        <v xml:space="preserve"> </v>
      </c>
    </row>
    <row r="23" spans="1:23" ht="12.75" customHeight="1">
      <c r="A23" s="120"/>
      <c r="B23" s="16"/>
      <c r="C23" s="7"/>
      <c r="D23" s="10" t="s">
        <v>6</v>
      </c>
      <c r="E23" s="81">
        <v>8509.25</v>
      </c>
      <c r="F23" s="79">
        <v>8509.25</v>
      </c>
      <c r="G23" s="82">
        <f t="shared" si="21"/>
        <v>10466.377500000001</v>
      </c>
      <c r="H23" s="80">
        <f t="shared" si="22"/>
        <v>10466.377500000001</v>
      </c>
      <c r="I23" s="54">
        <f t="shared" si="23"/>
        <v>0</v>
      </c>
      <c r="J23" s="55">
        <f t="shared" si="24"/>
        <v>0</v>
      </c>
      <c r="K23" s="133" t="str">
        <f t="shared" si="25"/>
        <v xml:space="preserve"> </v>
      </c>
      <c r="L23" s="120"/>
      <c r="M23" s="16"/>
      <c r="N23" s="7"/>
      <c r="O23" s="10" t="s">
        <v>6</v>
      </c>
      <c r="P23" s="81">
        <f t="shared" si="26"/>
        <v>42.546250000000001</v>
      </c>
      <c r="Q23" s="79">
        <f t="shared" si="26"/>
        <v>42.546250000000001</v>
      </c>
      <c r="R23" s="82">
        <f t="shared" si="26"/>
        <v>52.331887500000008</v>
      </c>
      <c r="S23" s="80">
        <f t="shared" si="26"/>
        <v>52.331887500000008</v>
      </c>
      <c r="T23" s="54">
        <f t="shared" si="27"/>
        <v>0</v>
      </c>
      <c r="U23" s="55">
        <f t="shared" si="28"/>
        <v>0</v>
      </c>
      <c r="V23" s="124" t="str">
        <f t="shared" si="29"/>
        <v xml:space="preserve"> </v>
      </c>
      <c r="W23" s="43"/>
    </row>
    <row r="24" spans="1:23" ht="12.75" customHeight="1">
      <c r="A24" s="120"/>
      <c r="B24" s="16">
        <v>2</v>
      </c>
      <c r="C24" s="7" t="s">
        <v>13</v>
      </c>
      <c r="D24" s="10" t="s">
        <v>7</v>
      </c>
      <c r="E24" s="81">
        <v>22.24</v>
      </c>
      <c r="F24" s="79">
        <v>22.24</v>
      </c>
      <c r="G24" s="82">
        <f t="shared" si="21"/>
        <v>27.355199999999996</v>
      </c>
      <c r="H24" s="80">
        <f t="shared" si="22"/>
        <v>27.355199999999996</v>
      </c>
      <c r="I24" s="54">
        <f t="shared" si="23"/>
        <v>0</v>
      </c>
      <c r="J24" s="55">
        <f t="shared" si="24"/>
        <v>0</v>
      </c>
      <c r="K24" s="133" t="str">
        <f t="shared" si="25"/>
        <v xml:space="preserve"> </v>
      </c>
      <c r="L24" s="120"/>
      <c r="M24" s="16">
        <v>2</v>
      </c>
      <c r="N24" s="7" t="s">
        <v>13</v>
      </c>
      <c r="O24" s="10" t="s">
        <v>7</v>
      </c>
      <c r="P24" s="81">
        <f>$S$5*E24</f>
        <v>222.39999999999998</v>
      </c>
      <c r="Q24" s="79">
        <f>$S$5*F24</f>
        <v>222.39999999999998</v>
      </c>
      <c r="R24" s="82">
        <f>$S$5*G24</f>
        <v>273.55199999999996</v>
      </c>
      <c r="S24" s="80">
        <f>$S$5*H24</f>
        <v>273.55199999999996</v>
      </c>
      <c r="T24" s="54">
        <f t="shared" si="27"/>
        <v>0</v>
      </c>
      <c r="U24" s="55">
        <f t="shared" si="28"/>
        <v>0</v>
      </c>
      <c r="V24" s="124" t="str">
        <f t="shared" si="29"/>
        <v xml:space="preserve"> </v>
      </c>
      <c r="W24" s="43"/>
    </row>
    <row r="25" spans="1:23" ht="5.0999999999999996" customHeight="1">
      <c r="A25" s="120"/>
      <c r="B25" s="45"/>
      <c r="C25" s="46"/>
      <c r="D25" s="56"/>
      <c r="E25" s="7"/>
      <c r="F25" s="7"/>
      <c r="G25" s="7"/>
      <c r="H25" s="7"/>
      <c r="I25" s="7"/>
      <c r="J25" s="7"/>
      <c r="K25" s="133"/>
      <c r="L25" s="120"/>
      <c r="M25" s="45"/>
      <c r="N25" s="46"/>
      <c r="O25" s="56"/>
      <c r="P25" s="7"/>
      <c r="Q25" s="7"/>
      <c r="R25" s="7"/>
      <c r="S25" s="7"/>
      <c r="T25" s="7"/>
      <c r="U25" s="7"/>
      <c r="V25" s="121"/>
    </row>
    <row r="26" spans="1:23" ht="12.75" customHeight="1">
      <c r="A26" s="120"/>
      <c r="B26" s="72" t="s">
        <v>22</v>
      </c>
      <c r="C26" s="72" t="s">
        <v>15</v>
      </c>
      <c r="D26" s="72" t="s">
        <v>49</v>
      </c>
      <c r="E26" s="73" t="s">
        <v>2</v>
      </c>
      <c r="F26" s="73"/>
      <c r="G26" s="74" t="s">
        <v>3</v>
      </c>
      <c r="H26" s="73"/>
      <c r="I26" s="73"/>
      <c r="J26" s="73"/>
      <c r="K26" s="133"/>
      <c r="L26" s="120"/>
      <c r="M26" s="72" t="s">
        <v>22</v>
      </c>
      <c r="N26" s="72" t="s">
        <v>15</v>
      </c>
      <c r="O26" s="72" t="s">
        <v>49</v>
      </c>
      <c r="P26" s="73" t="s">
        <v>2</v>
      </c>
      <c r="Q26" s="73"/>
      <c r="R26" s="74" t="s">
        <v>3</v>
      </c>
      <c r="S26" s="73"/>
      <c r="T26" s="73"/>
      <c r="U26" s="73"/>
      <c r="V26" s="121"/>
    </row>
    <row r="27" spans="1:23" ht="12.75" customHeight="1">
      <c r="A27" s="120"/>
      <c r="B27" s="16"/>
      <c r="C27" s="7"/>
      <c r="D27" s="16"/>
      <c r="E27" s="58" t="s">
        <v>61</v>
      </c>
      <c r="F27" s="51" t="s">
        <v>62</v>
      </c>
      <c r="G27" s="58" t="s">
        <v>61</v>
      </c>
      <c r="H27" s="51" t="s">
        <v>62</v>
      </c>
      <c r="I27" s="64" t="s">
        <v>60</v>
      </c>
      <c r="J27" s="65" t="s">
        <v>33</v>
      </c>
      <c r="K27" s="133"/>
      <c r="L27" s="120"/>
      <c r="M27" s="16"/>
      <c r="N27" s="7"/>
      <c r="O27" s="16"/>
      <c r="P27" s="58" t="str">
        <f>E27</f>
        <v>do 30-06-24</v>
      </c>
      <c r="Q27" s="51" t="str">
        <f t="shared" ref="Q27" si="30">F27</f>
        <v>od 01-07-24</v>
      </c>
      <c r="R27" s="58" t="str">
        <f t="shared" ref="R27" si="31">G27</f>
        <v>do 30-06-24</v>
      </c>
      <c r="S27" s="51" t="str">
        <f t="shared" ref="S27" si="32">H27</f>
        <v>od 01-07-24</v>
      </c>
      <c r="T27" s="64" t="s">
        <v>60</v>
      </c>
      <c r="U27" s="65" t="s">
        <v>33</v>
      </c>
      <c r="V27" s="121"/>
    </row>
    <row r="28" spans="1:23" ht="12.75" customHeight="1">
      <c r="A28" s="120"/>
      <c r="B28" s="16">
        <v>1</v>
      </c>
      <c r="C28" s="7" t="s">
        <v>12</v>
      </c>
      <c r="D28" s="10" t="s">
        <v>5</v>
      </c>
      <c r="E28" s="81">
        <v>86909.06</v>
      </c>
      <c r="F28" s="79">
        <v>86909.06</v>
      </c>
      <c r="G28" s="82">
        <f t="shared" ref="G28:H30" si="33">E28*(1+$J$3)</f>
        <v>106898.14379999999</v>
      </c>
      <c r="H28" s="80">
        <f t="shared" si="33"/>
        <v>106898.14379999999</v>
      </c>
      <c r="I28" s="54">
        <f t="shared" ref="I28:I30" si="34">IF(G28&gt;0,H28/G28-1,"")</f>
        <v>0</v>
      </c>
      <c r="J28" s="55">
        <f t="shared" ref="J28:J30" si="35">IF(G28&gt;0,H28-G28,"")</f>
        <v>0</v>
      </c>
      <c r="K28" s="133" t="str">
        <f>IF(H28&lt;&gt;G28,"þ"," ")</f>
        <v xml:space="preserve"> </v>
      </c>
      <c r="L28" s="120"/>
      <c r="M28" s="16">
        <v>1</v>
      </c>
      <c r="N28" s="7" t="s">
        <v>12</v>
      </c>
      <c r="O28" s="10" t="s">
        <v>5</v>
      </c>
      <c r="P28" s="81">
        <f t="shared" ref="P28:S29" si="36">$Q$5*E28/1000</f>
        <v>434.5453</v>
      </c>
      <c r="Q28" s="79">
        <f t="shared" si="36"/>
        <v>434.5453</v>
      </c>
      <c r="R28" s="82">
        <f t="shared" si="36"/>
        <v>534.4907189999999</v>
      </c>
      <c r="S28" s="80">
        <f t="shared" si="36"/>
        <v>534.4907189999999</v>
      </c>
      <c r="T28" s="54">
        <f t="shared" ref="T28:T30" si="37">IF(R28&gt;0,S28/R28-1,"")</f>
        <v>0</v>
      </c>
      <c r="U28" s="55">
        <f t="shared" ref="U28:U30" si="38">IF(R28&gt;0,S28-R28,"")</f>
        <v>0</v>
      </c>
      <c r="V28" s="133" t="str">
        <f>IF(S28&lt;&gt;R28,"þ"," ")</f>
        <v xml:space="preserve"> </v>
      </c>
    </row>
    <row r="29" spans="1:23" ht="12.75" customHeight="1">
      <c r="A29" s="120"/>
      <c r="B29" s="16"/>
      <c r="C29" s="7"/>
      <c r="D29" s="10" t="s">
        <v>6</v>
      </c>
      <c r="E29" s="81">
        <v>7242.42</v>
      </c>
      <c r="F29" s="79">
        <v>7242.42</v>
      </c>
      <c r="G29" s="82">
        <f t="shared" si="33"/>
        <v>8908.1766000000007</v>
      </c>
      <c r="H29" s="80">
        <f t="shared" si="33"/>
        <v>8908.1766000000007</v>
      </c>
      <c r="I29" s="54">
        <f t="shared" si="34"/>
        <v>0</v>
      </c>
      <c r="J29" s="55">
        <f t="shared" si="35"/>
        <v>0</v>
      </c>
      <c r="K29" s="133" t="str">
        <f>IF(H29&lt;&gt;G29,"þ"," ")</f>
        <v xml:space="preserve"> </v>
      </c>
      <c r="L29" s="120"/>
      <c r="M29" s="16"/>
      <c r="N29" s="7"/>
      <c r="O29" s="10" t="s">
        <v>6</v>
      </c>
      <c r="P29" s="81">
        <f t="shared" si="36"/>
        <v>36.2121</v>
      </c>
      <c r="Q29" s="79">
        <f t="shared" si="36"/>
        <v>36.2121</v>
      </c>
      <c r="R29" s="82">
        <f t="shared" si="36"/>
        <v>44.540883000000001</v>
      </c>
      <c r="S29" s="80">
        <f t="shared" si="36"/>
        <v>44.540883000000001</v>
      </c>
      <c r="T29" s="54">
        <f t="shared" si="37"/>
        <v>0</v>
      </c>
      <c r="U29" s="55">
        <f t="shared" si="38"/>
        <v>0</v>
      </c>
      <c r="V29" s="124" t="str">
        <f>IF(S29&lt;&gt;R29,"þ"," ")</f>
        <v xml:space="preserve"> </v>
      </c>
    </row>
    <row r="30" spans="1:23" ht="12.75" customHeight="1">
      <c r="A30" s="120"/>
      <c r="B30" s="16">
        <v>2</v>
      </c>
      <c r="C30" s="7" t="s">
        <v>13</v>
      </c>
      <c r="D30" s="10" t="s">
        <v>7</v>
      </c>
      <c r="E30" s="81">
        <v>24.73</v>
      </c>
      <c r="F30" s="79">
        <v>24.73</v>
      </c>
      <c r="G30" s="82">
        <f t="shared" si="33"/>
        <v>30.417899999999999</v>
      </c>
      <c r="H30" s="80">
        <f t="shared" si="33"/>
        <v>30.417899999999999</v>
      </c>
      <c r="I30" s="54">
        <f t="shared" si="34"/>
        <v>0</v>
      </c>
      <c r="J30" s="55">
        <f t="shared" si="35"/>
        <v>0</v>
      </c>
      <c r="K30" s="133" t="str">
        <f>IF(H30&lt;&gt;G30,"þ"," ")</f>
        <v xml:space="preserve"> </v>
      </c>
      <c r="L30" s="120"/>
      <c r="M30" s="16">
        <v>2</v>
      </c>
      <c r="N30" s="7" t="s">
        <v>13</v>
      </c>
      <c r="O30" s="10" t="s">
        <v>7</v>
      </c>
      <c r="P30" s="81">
        <f>$S$5*E30</f>
        <v>247.3</v>
      </c>
      <c r="Q30" s="79">
        <f>$S$5*F30</f>
        <v>247.3</v>
      </c>
      <c r="R30" s="82">
        <f>$S$5*G30</f>
        <v>304.17899999999997</v>
      </c>
      <c r="S30" s="80">
        <f>$S$5*H30</f>
        <v>304.17899999999997</v>
      </c>
      <c r="T30" s="54">
        <f t="shared" si="37"/>
        <v>0</v>
      </c>
      <c r="U30" s="55">
        <f t="shared" si="38"/>
        <v>0</v>
      </c>
      <c r="V30" s="124" t="str">
        <f>IF(S30&lt;&gt;R30,"þ"," ")</f>
        <v xml:space="preserve"> </v>
      </c>
    </row>
    <row r="31" spans="1:23" ht="5.0999999999999996" customHeight="1">
      <c r="A31" s="120"/>
      <c r="B31" s="45"/>
      <c r="C31" s="46"/>
      <c r="D31" s="56"/>
      <c r="E31" s="7"/>
      <c r="F31" s="7"/>
      <c r="G31" s="7"/>
      <c r="H31" s="7"/>
      <c r="I31" s="7"/>
      <c r="J31" s="7"/>
      <c r="K31" s="133"/>
      <c r="L31" s="120"/>
      <c r="M31" s="45"/>
      <c r="N31" s="46"/>
      <c r="O31" s="56"/>
      <c r="P31" s="7"/>
      <c r="Q31" s="7"/>
      <c r="R31" s="7"/>
      <c r="S31" s="7"/>
      <c r="T31" s="7"/>
      <c r="U31" s="7"/>
      <c r="V31" s="121"/>
    </row>
    <row r="32" spans="1:23" ht="12.75" customHeight="1">
      <c r="A32" s="120"/>
      <c r="B32" s="72" t="s">
        <v>64</v>
      </c>
      <c r="C32" s="72" t="s">
        <v>15</v>
      </c>
      <c r="D32" s="72" t="s">
        <v>50</v>
      </c>
      <c r="E32" s="73" t="s">
        <v>2</v>
      </c>
      <c r="F32" s="73"/>
      <c r="G32" s="74" t="s">
        <v>3</v>
      </c>
      <c r="H32" s="73"/>
      <c r="I32" s="73"/>
      <c r="J32" s="73"/>
      <c r="K32" s="133"/>
      <c r="L32" s="120"/>
      <c r="M32" s="72" t="s">
        <v>64</v>
      </c>
      <c r="N32" s="72" t="s">
        <v>15</v>
      </c>
      <c r="O32" s="72" t="s">
        <v>50</v>
      </c>
      <c r="P32" s="73" t="s">
        <v>2</v>
      </c>
      <c r="Q32" s="73"/>
      <c r="R32" s="74" t="s">
        <v>3</v>
      </c>
      <c r="S32" s="73"/>
      <c r="T32" s="73"/>
      <c r="U32" s="73"/>
      <c r="V32" s="121"/>
    </row>
    <row r="33" spans="1:23" ht="12.75" customHeight="1">
      <c r="A33" s="120"/>
      <c r="B33" s="16"/>
      <c r="C33" s="7"/>
      <c r="D33" s="16"/>
      <c r="E33" s="58" t="s">
        <v>61</v>
      </c>
      <c r="F33" s="51" t="s">
        <v>62</v>
      </c>
      <c r="G33" s="58" t="s">
        <v>61</v>
      </c>
      <c r="H33" s="51" t="s">
        <v>62</v>
      </c>
      <c r="I33" s="64" t="s">
        <v>60</v>
      </c>
      <c r="J33" s="65" t="s">
        <v>33</v>
      </c>
      <c r="K33" s="133"/>
      <c r="L33" s="120"/>
      <c r="M33" s="16"/>
      <c r="N33" s="7"/>
      <c r="O33" s="16"/>
      <c r="P33" s="58" t="str">
        <f>E33</f>
        <v>do 30-06-24</v>
      </c>
      <c r="Q33" s="51" t="str">
        <f t="shared" ref="Q33" si="39">F33</f>
        <v>od 01-07-24</v>
      </c>
      <c r="R33" s="58" t="str">
        <f t="shared" ref="R33" si="40">G33</f>
        <v>do 30-06-24</v>
      </c>
      <c r="S33" s="51" t="str">
        <f t="shared" ref="S33" si="41">H33</f>
        <v>od 01-07-24</v>
      </c>
      <c r="T33" s="64" t="s">
        <v>60</v>
      </c>
      <c r="U33" s="65" t="s">
        <v>33</v>
      </c>
      <c r="V33" s="121"/>
    </row>
    <row r="34" spans="1:23" ht="12.75" customHeight="1">
      <c r="A34" s="120"/>
      <c r="B34" s="16">
        <v>1</v>
      </c>
      <c r="C34" s="7" t="s">
        <v>12</v>
      </c>
      <c r="D34" s="10" t="s">
        <v>5</v>
      </c>
      <c r="E34" s="81">
        <v>98119.33</v>
      </c>
      <c r="F34" s="79">
        <v>98119.33</v>
      </c>
      <c r="G34" s="82">
        <f t="shared" ref="G34:H36" si="42">E34*(1+$J$3)</f>
        <v>120686.77589999999</v>
      </c>
      <c r="H34" s="80">
        <f t="shared" si="42"/>
        <v>120686.77589999999</v>
      </c>
      <c r="I34" s="54">
        <f t="shared" ref="I34:I36" si="43">IF(G34&gt;0,H34/G34-1,"")</f>
        <v>0</v>
      </c>
      <c r="J34" s="55">
        <f t="shared" ref="J34:J36" si="44">IF(G34&gt;0,H34-G34,"")</f>
        <v>0</v>
      </c>
      <c r="K34" s="133" t="str">
        <f>IF(H34&lt;&gt;G34,"þ"," ")</f>
        <v xml:space="preserve"> </v>
      </c>
      <c r="L34" s="120"/>
      <c r="M34" s="16">
        <v>1</v>
      </c>
      <c r="N34" s="7" t="s">
        <v>12</v>
      </c>
      <c r="O34" s="10" t="s">
        <v>5</v>
      </c>
      <c r="P34" s="81">
        <f t="shared" ref="P34:S35" si="45">$Q$5*E34/1000</f>
        <v>490.59665000000001</v>
      </c>
      <c r="Q34" s="79">
        <f t="shared" si="45"/>
        <v>490.59665000000001</v>
      </c>
      <c r="R34" s="82">
        <f t="shared" si="45"/>
        <v>603.43387949999988</v>
      </c>
      <c r="S34" s="80">
        <f t="shared" si="45"/>
        <v>603.43387949999988</v>
      </c>
      <c r="T34" s="54">
        <f t="shared" ref="T34:T36" si="46">IF(R34&gt;0,S34/R34-1,"")</f>
        <v>0</v>
      </c>
      <c r="U34" s="55">
        <f t="shared" ref="U34:U36" si="47">IF(R34&gt;0,S34-R34,"")</f>
        <v>0</v>
      </c>
      <c r="V34" s="133" t="str">
        <f>IF(S34&lt;&gt;R34,"þ"," ")</f>
        <v xml:space="preserve"> </v>
      </c>
    </row>
    <row r="35" spans="1:23" ht="12.75" customHeight="1">
      <c r="A35" s="120"/>
      <c r="B35" s="16"/>
      <c r="C35" s="7"/>
      <c r="D35" s="10" t="s">
        <v>6</v>
      </c>
      <c r="E35" s="81">
        <v>8176.61</v>
      </c>
      <c r="F35" s="79">
        <v>8176.61</v>
      </c>
      <c r="G35" s="82">
        <f t="shared" si="42"/>
        <v>10057.230299999999</v>
      </c>
      <c r="H35" s="80">
        <f t="shared" si="42"/>
        <v>10057.230299999999</v>
      </c>
      <c r="I35" s="54">
        <f t="shared" si="43"/>
        <v>0</v>
      </c>
      <c r="J35" s="55">
        <f t="shared" si="44"/>
        <v>0</v>
      </c>
      <c r="K35" s="133" t="str">
        <f>IF(H35&lt;&gt;G35,"þ"," ")</f>
        <v xml:space="preserve"> </v>
      </c>
      <c r="L35" s="120"/>
      <c r="M35" s="16"/>
      <c r="N35" s="7"/>
      <c r="O35" s="10" t="s">
        <v>6</v>
      </c>
      <c r="P35" s="81">
        <f t="shared" si="45"/>
        <v>40.883049999999997</v>
      </c>
      <c r="Q35" s="79">
        <f t="shared" si="45"/>
        <v>40.883049999999997</v>
      </c>
      <c r="R35" s="82">
        <f t="shared" si="45"/>
        <v>50.286151499999995</v>
      </c>
      <c r="S35" s="80">
        <f t="shared" si="45"/>
        <v>50.286151499999995</v>
      </c>
      <c r="T35" s="54">
        <f t="shared" si="46"/>
        <v>0</v>
      </c>
      <c r="U35" s="55">
        <f t="shared" si="47"/>
        <v>0</v>
      </c>
      <c r="V35" s="124" t="str">
        <f>IF(S35&lt;&gt;R35,"þ"," ")</f>
        <v xml:space="preserve"> </v>
      </c>
      <c r="W35" s="43"/>
    </row>
    <row r="36" spans="1:23" ht="12.75" customHeight="1">
      <c r="A36" s="120"/>
      <c r="B36" s="16">
        <v>2</v>
      </c>
      <c r="C36" s="7" t="s">
        <v>13</v>
      </c>
      <c r="D36" s="10" t="s">
        <v>7</v>
      </c>
      <c r="E36" s="81">
        <v>21.2</v>
      </c>
      <c r="F36" s="79">
        <v>21.2</v>
      </c>
      <c r="G36" s="82">
        <f t="shared" si="42"/>
        <v>26.076000000000001</v>
      </c>
      <c r="H36" s="80">
        <f t="shared" si="42"/>
        <v>26.076000000000001</v>
      </c>
      <c r="I36" s="54">
        <f t="shared" si="43"/>
        <v>0</v>
      </c>
      <c r="J36" s="55">
        <f t="shared" si="44"/>
        <v>0</v>
      </c>
      <c r="K36" s="133" t="str">
        <f>IF(H36&lt;&gt;G36,"þ"," ")</f>
        <v xml:space="preserve"> </v>
      </c>
      <c r="L36" s="120"/>
      <c r="M36" s="16">
        <v>2</v>
      </c>
      <c r="N36" s="7" t="s">
        <v>13</v>
      </c>
      <c r="O36" s="10" t="s">
        <v>7</v>
      </c>
      <c r="P36" s="81">
        <f>$S$5*E36</f>
        <v>212</v>
      </c>
      <c r="Q36" s="79">
        <f>$S$5*F36</f>
        <v>212</v>
      </c>
      <c r="R36" s="82">
        <f>$S$5*G36</f>
        <v>260.76</v>
      </c>
      <c r="S36" s="80">
        <f>$S$5*H36</f>
        <v>260.76</v>
      </c>
      <c r="T36" s="54">
        <f t="shared" si="46"/>
        <v>0</v>
      </c>
      <c r="U36" s="55">
        <f t="shared" si="47"/>
        <v>0</v>
      </c>
      <c r="V36" s="124" t="str">
        <f>IF(S36&lt;&gt;R36,"þ"," ")</f>
        <v xml:space="preserve"> </v>
      </c>
      <c r="W36" s="43"/>
    </row>
    <row r="37" spans="1:23" ht="5.0999999999999996" customHeight="1">
      <c r="A37" s="120"/>
      <c r="B37" s="21"/>
      <c r="C37" s="15"/>
      <c r="D37" s="15"/>
      <c r="E37" s="15"/>
      <c r="F37" s="15"/>
      <c r="G37" s="15"/>
      <c r="H37" s="15"/>
      <c r="I37" s="15"/>
      <c r="J37" s="15"/>
      <c r="K37" s="133"/>
      <c r="L37" s="120"/>
      <c r="M37" s="21"/>
      <c r="N37" s="15"/>
      <c r="O37" s="15"/>
      <c r="P37" s="15"/>
      <c r="Q37" s="15"/>
      <c r="R37" s="15"/>
      <c r="S37" s="15"/>
      <c r="T37" s="15"/>
      <c r="U37" s="15"/>
      <c r="V37" s="121"/>
      <c r="W37" s="43"/>
    </row>
    <row r="38" spans="1:23" ht="12.75" customHeight="1">
      <c r="A38" s="120"/>
      <c r="B38" s="72" t="s">
        <v>66</v>
      </c>
      <c r="C38" s="72" t="s">
        <v>15</v>
      </c>
      <c r="D38" s="72" t="s">
        <v>67</v>
      </c>
      <c r="E38" s="73" t="s">
        <v>2</v>
      </c>
      <c r="F38" s="73"/>
      <c r="G38" s="74" t="s">
        <v>3</v>
      </c>
      <c r="H38" s="73"/>
      <c r="I38" s="73"/>
      <c r="J38" s="73"/>
      <c r="K38" s="133"/>
      <c r="L38" s="120"/>
      <c r="M38" s="72" t="s">
        <v>66</v>
      </c>
      <c r="N38" s="72" t="s">
        <v>15</v>
      </c>
      <c r="O38" s="72" t="s">
        <v>67</v>
      </c>
      <c r="P38" s="73" t="s">
        <v>2</v>
      </c>
      <c r="Q38" s="73"/>
      <c r="R38" s="74" t="s">
        <v>3</v>
      </c>
      <c r="S38" s="73"/>
      <c r="T38" s="73"/>
      <c r="U38" s="73"/>
      <c r="V38" s="121"/>
    </row>
    <row r="39" spans="1:23" ht="12.75" customHeight="1">
      <c r="A39" s="120"/>
      <c r="B39" s="16"/>
      <c r="C39" s="7"/>
      <c r="D39" s="16"/>
      <c r="E39" s="58" t="s">
        <v>78</v>
      </c>
      <c r="F39" s="51" t="s">
        <v>62</v>
      </c>
      <c r="G39" s="58" t="s">
        <v>78</v>
      </c>
      <c r="H39" s="51" t="s">
        <v>62</v>
      </c>
      <c r="I39" s="64" t="s">
        <v>60</v>
      </c>
      <c r="J39" s="65" t="s">
        <v>33</v>
      </c>
      <c r="K39" s="133"/>
      <c r="L39" s="120"/>
      <c r="M39" s="16"/>
      <c r="N39" s="7"/>
      <c r="O39" s="16"/>
      <c r="P39" s="58" t="str">
        <f>E39</f>
        <v>brak</v>
      </c>
      <c r="Q39" s="51" t="str">
        <f t="shared" ref="Q39" si="48">F39</f>
        <v>od 01-07-24</v>
      </c>
      <c r="R39" s="58" t="str">
        <f t="shared" ref="R39" si="49">G39</f>
        <v>brak</v>
      </c>
      <c r="S39" s="51" t="str">
        <f t="shared" ref="S39" si="50">H39</f>
        <v>od 01-07-24</v>
      </c>
      <c r="T39" s="64" t="s">
        <v>60</v>
      </c>
      <c r="U39" s="65" t="s">
        <v>33</v>
      </c>
      <c r="V39" s="121"/>
    </row>
    <row r="40" spans="1:23" ht="12.75" customHeight="1">
      <c r="A40" s="120"/>
      <c r="B40" s="16">
        <v>1</v>
      </c>
      <c r="C40" s="7" t="s">
        <v>12</v>
      </c>
      <c r="D40" s="10" t="s">
        <v>5</v>
      </c>
      <c r="E40" s="81">
        <v>102377.2</v>
      </c>
      <c r="F40" s="79">
        <v>102377.2</v>
      </c>
      <c r="G40" s="82">
        <f t="shared" ref="G40:G42" si="51">E40*(1+$J$3)</f>
        <v>125923.95599999999</v>
      </c>
      <c r="H40" s="80">
        <f t="shared" ref="H40:H42" si="52">F40*(1+$J$3)</f>
        <v>125923.95599999999</v>
      </c>
      <c r="I40" s="54">
        <f t="shared" ref="I40:I42" si="53">IF(G40&gt;0,H40/G40-1,"")</f>
        <v>0</v>
      </c>
      <c r="J40" s="55">
        <f t="shared" ref="J40:J42" si="54">IF(G40&gt;0,H40-G40,"")</f>
        <v>0</v>
      </c>
      <c r="K40" s="133" t="str">
        <f t="shared" ref="K40:K42" si="55">IF(H40&lt;&gt;G40,"þ"," ")</f>
        <v xml:space="preserve"> </v>
      </c>
      <c r="L40" s="120"/>
      <c r="M40" s="16">
        <v>1</v>
      </c>
      <c r="N40" s="7" t="s">
        <v>12</v>
      </c>
      <c r="O40" s="10" t="s">
        <v>5</v>
      </c>
      <c r="P40" s="81">
        <f t="shared" ref="P40:S41" si="56">$Q$5*E40/1000</f>
        <v>511.88600000000002</v>
      </c>
      <c r="Q40" s="79">
        <f t="shared" si="56"/>
        <v>511.88600000000002</v>
      </c>
      <c r="R40" s="82">
        <f t="shared" si="56"/>
        <v>629.61977999999988</v>
      </c>
      <c r="S40" s="80">
        <f t="shared" si="56"/>
        <v>629.61977999999988</v>
      </c>
      <c r="T40" s="54">
        <f t="shared" ref="T40:T42" si="57">IF(R40&gt;0,S40/R40-1,"")</f>
        <v>0</v>
      </c>
      <c r="U40" s="55">
        <f t="shared" ref="U40:U42" si="58">IF(R40&gt;0,S40-R40,"")</f>
        <v>0</v>
      </c>
      <c r="V40" s="133" t="str">
        <f t="shared" ref="V40:V42" si="59">IF(S40&lt;&gt;R40,"þ"," ")</f>
        <v xml:space="preserve"> </v>
      </c>
    </row>
    <row r="41" spans="1:23" ht="12.75" customHeight="1">
      <c r="A41" s="120"/>
      <c r="B41" s="16"/>
      <c r="C41" s="7"/>
      <c r="D41" s="10" t="s">
        <v>6</v>
      </c>
      <c r="E41" s="81">
        <v>8531.43</v>
      </c>
      <c r="F41" s="79">
        <v>8531.43</v>
      </c>
      <c r="G41" s="82">
        <f t="shared" si="51"/>
        <v>10493.6589</v>
      </c>
      <c r="H41" s="80">
        <f t="shared" si="52"/>
        <v>10493.6589</v>
      </c>
      <c r="I41" s="54">
        <f t="shared" si="53"/>
        <v>0</v>
      </c>
      <c r="J41" s="55">
        <f t="shared" si="54"/>
        <v>0</v>
      </c>
      <c r="K41" s="133" t="str">
        <f t="shared" si="55"/>
        <v xml:space="preserve"> </v>
      </c>
      <c r="L41" s="120"/>
      <c r="M41" s="16"/>
      <c r="N41" s="7"/>
      <c r="O41" s="10" t="s">
        <v>6</v>
      </c>
      <c r="P41" s="81">
        <f t="shared" si="56"/>
        <v>42.657150000000001</v>
      </c>
      <c r="Q41" s="79">
        <f t="shared" si="56"/>
        <v>42.657150000000001</v>
      </c>
      <c r="R41" s="82">
        <f t="shared" si="56"/>
        <v>52.468294500000006</v>
      </c>
      <c r="S41" s="80">
        <f t="shared" si="56"/>
        <v>52.468294500000006</v>
      </c>
      <c r="T41" s="54">
        <f t="shared" si="57"/>
        <v>0</v>
      </c>
      <c r="U41" s="55">
        <f t="shared" si="58"/>
        <v>0</v>
      </c>
      <c r="V41" s="124" t="str">
        <f t="shared" si="59"/>
        <v xml:space="preserve"> </v>
      </c>
      <c r="W41" s="43"/>
    </row>
    <row r="42" spans="1:23" ht="12.75" customHeight="1">
      <c r="A42" s="120"/>
      <c r="B42" s="16">
        <v>2</v>
      </c>
      <c r="C42" s="7" t="s">
        <v>13</v>
      </c>
      <c r="D42" s="10" t="s">
        <v>7</v>
      </c>
      <c r="E42" s="81">
        <v>22.09</v>
      </c>
      <c r="F42" s="79">
        <v>22.09</v>
      </c>
      <c r="G42" s="82">
        <f t="shared" si="51"/>
        <v>27.1707</v>
      </c>
      <c r="H42" s="80">
        <f t="shared" si="52"/>
        <v>27.1707</v>
      </c>
      <c r="I42" s="54">
        <f t="shared" si="53"/>
        <v>0</v>
      </c>
      <c r="J42" s="55">
        <f t="shared" si="54"/>
        <v>0</v>
      </c>
      <c r="K42" s="133" t="str">
        <f t="shared" si="55"/>
        <v xml:space="preserve"> </v>
      </c>
      <c r="L42" s="120"/>
      <c r="M42" s="16">
        <v>2</v>
      </c>
      <c r="N42" s="7" t="s">
        <v>13</v>
      </c>
      <c r="O42" s="10" t="s">
        <v>7</v>
      </c>
      <c r="P42" s="81">
        <f>$S$5*E42</f>
        <v>220.9</v>
      </c>
      <c r="Q42" s="79">
        <f>$S$5*F42</f>
        <v>220.9</v>
      </c>
      <c r="R42" s="82">
        <f>$S$5*G42</f>
        <v>271.70699999999999</v>
      </c>
      <c r="S42" s="80">
        <f>$S$5*H42</f>
        <v>271.70699999999999</v>
      </c>
      <c r="T42" s="54">
        <f t="shared" si="57"/>
        <v>0</v>
      </c>
      <c r="U42" s="55">
        <f t="shared" si="58"/>
        <v>0</v>
      </c>
      <c r="V42" s="124" t="str">
        <f t="shared" si="59"/>
        <v xml:space="preserve"> </v>
      </c>
      <c r="W42" s="43"/>
    </row>
    <row r="43" spans="1:23" ht="5.0999999999999996" customHeight="1">
      <c r="A43" s="120"/>
      <c r="B43" s="45"/>
      <c r="C43" s="46"/>
      <c r="D43" s="56"/>
      <c r="E43" s="7"/>
      <c r="F43" s="7"/>
      <c r="G43" s="7"/>
      <c r="H43" s="7"/>
      <c r="I43" s="7"/>
      <c r="J43" s="7"/>
      <c r="K43" s="133"/>
      <c r="L43" s="120"/>
      <c r="M43" s="45"/>
      <c r="N43" s="46"/>
      <c r="O43" s="56"/>
      <c r="P43" s="7"/>
      <c r="Q43" s="7"/>
      <c r="R43" s="7"/>
      <c r="S43" s="7"/>
      <c r="T43" s="7"/>
      <c r="U43" s="7"/>
      <c r="V43" s="121"/>
      <c r="W43" s="43"/>
    </row>
    <row r="44" spans="1:23" ht="12.75" customHeight="1">
      <c r="A44" s="120"/>
      <c r="B44" s="72" t="s">
        <v>23</v>
      </c>
      <c r="C44" s="72" t="s">
        <v>65</v>
      </c>
      <c r="D44" s="72"/>
      <c r="E44" s="73" t="s">
        <v>2</v>
      </c>
      <c r="F44" s="73"/>
      <c r="G44" s="74" t="s">
        <v>3</v>
      </c>
      <c r="H44" s="73"/>
      <c r="I44" s="73"/>
      <c r="J44" s="73"/>
      <c r="K44" s="133"/>
      <c r="L44" s="120"/>
      <c r="M44" s="72" t="s">
        <v>23</v>
      </c>
      <c r="N44" s="72" t="s">
        <v>65</v>
      </c>
      <c r="O44" s="72"/>
      <c r="P44" s="73" t="s">
        <v>2</v>
      </c>
      <c r="Q44" s="73"/>
      <c r="R44" s="74" t="s">
        <v>3</v>
      </c>
      <c r="S44" s="73"/>
      <c r="T44" s="73"/>
      <c r="U44" s="73"/>
      <c r="V44" s="121"/>
    </row>
    <row r="45" spans="1:23" ht="12.75" customHeight="1">
      <c r="A45" s="120"/>
      <c r="B45" s="16"/>
      <c r="C45" s="7"/>
      <c r="D45" s="7"/>
      <c r="E45" s="7"/>
      <c r="F45" s="16" t="s">
        <v>24</v>
      </c>
      <c r="G45" s="50" t="s">
        <v>99</v>
      </c>
      <c r="H45" s="51" t="s">
        <v>100</v>
      </c>
      <c r="I45" s="10" t="s">
        <v>60</v>
      </c>
      <c r="J45" s="53" t="s">
        <v>33</v>
      </c>
      <c r="K45" s="133"/>
      <c r="L45" s="120"/>
      <c r="M45" s="16"/>
      <c r="N45" s="7"/>
      <c r="O45" s="7"/>
      <c r="P45" s="7"/>
      <c r="Q45" s="16" t="s">
        <v>24</v>
      </c>
      <c r="R45" s="50" t="str">
        <f t="shared" ref="R45" si="60">G45</f>
        <v>do 30-09-25</v>
      </c>
      <c r="S45" s="51" t="str">
        <f t="shared" ref="S45" si="61">H45</f>
        <v>od 01-10-25</v>
      </c>
      <c r="T45" s="10" t="s">
        <v>60</v>
      </c>
      <c r="U45" s="53" t="s">
        <v>33</v>
      </c>
      <c r="V45" s="121"/>
    </row>
    <row r="46" spans="1:23" ht="12.75" customHeight="1">
      <c r="A46" s="120"/>
      <c r="B46" s="16">
        <v>1</v>
      </c>
      <c r="C46" s="7" t="s">
        <v>10</v>
      </c>
      <c r="D46" s="10" t="s">
        <v>7</v>
      </c>
      <c r="E46" s="7"/>
      <c r="F46" s="57" t="s">
        <v>14</v>
      </c>
      <c r="G46" s="77">
        <f>G11+G18</f>
        <v>87.723600000000005</v>
      </c>
      <c r="H46" s="78">
        <f>H11+H18</f>
        <v>87.096299999999999</v>
      </c>
      <c r="I46" s="52">
        <f t="shared" ref="I46:I49" si="62">IF(G46&gt;0,H46/G46-1,"")</f>
        <v>-7.150869321368547E-3</v>
      </c>
      <c r="J46" s="53">
        <f t="shared" ref="J46:J49" si="63">IF(G46&gt;0,H46-G46,"")</f>
        <v>-0.6273000000000053</v>
      </c>
      <c r="K46" s="133" t="str">
        <f>IF(H46&lt;&gt;G46,"þ"," ")</f>
        <v>þ</v>
      </c>
      <c r="L46" s="120"/>
      <c r="M46" s="16">
        <v>1</v>
      </c>
      <c r="N46" s="7" t="s">
        <v>10</v>
      </c>
      <c r="O46" s="10" t="s">
        <v>7</v>
      </c>
      <c r="P46" s="7"/>
      <c r="Q46" s="57" t="s">
        <v>14</v>
      </c>
      <c r="R46" s="77">
        <f>R11+R18</f>
        <v>877.23599999999999</v>
      </c>
      <c r="S46" s="78">
        <f>S11+S18</f>
        <v>870.96299999999997</v>
      </c>
      <c r="T46" s="52">
        <f t="shared" ref="T46:T50" si="64">IF(R46&gt;0,S46/R46-1,"")</f>
        <v>-7.150869321368547E-3</v>
      </c>
      <c r="U46" s="53">
        <f t="shared" ref="U46:U50" si="65">IF(R46&gt;0,S46-R46,"")</f>
        <v>-6.2730000000000246</v>
      </c>
      <c r="V46" s="133" t="str">
        <f>IF(S46&lt;&gt;R46,"þ"," ")</f>
        <v>þ</v>
      </c>
    </row>
    <row r="47" spans="1:23" ht="12.75" customHeight="1">
      <c r="A47" s="120"/>
      <c r="B47" s="16"/>
      <c r="C47" s="7"/>
      <c r="D47" s="10"/>
      <c r="E47" s="7"/>
      <c r="F47" s="57" t="s">
        <v>68</v>
      </c>
      <c r="G47" s="77">
        <f>G11+G24</f>
        <v>89.236500000000007</v>
      </c>
      <c r="H47" s="78">
        <f>H11+H24</f>
        <v>88.609199999999987</v>
      </c>
      <c r="I47" s="52">
        <f t="shared" ref="I47" si="66">IF(G47&gt;0,H47/G47-1,"")</f>
        <v>-7.0296347346660015E-3</v>
      </c>
      <c r="J47" s="53">
        <f t="shared" ref="J47" si="67">IF(G47&gt;0,H47-G47,"")</f>
        <v>-0.62730000000001951</v>
      </c>
      <c r="K47" s="133" t="str">
        <f>IF(H47&lt;&gt;G47,"þ"," ")</f>
        <v>þ</v>
      </c>
      <c r="L47" s="120"/>
      <c r="M47" s="16"/>
      <c r="N47" s="7"/>
      <c r="O47" s="10"/>
      <c r="P47" s="7"/>
      <c r="Q47" s="57" t="s">
        <v>68</v>
      </c>
      <c r="R47" s="77">
        <f>R11+R24</f>
        <v>892.36500000000001</v>
      </c>
      <c r="S47" s="78">
        <f>S11+S24</f>
        <v>886.09199999999987</v>
      </c>
      <c r="T47" s="52">
        <f t="shared" si="64"/>
        <v>-7.0296347346658905E-3</v>
      </c>
      <c r="U47" s="53">
        <f t="shared" si="65"/>
        <v>-6.2730000000001382</v>
      </c>
      <c r="V47" s="133" t="str">
        <f>IF(S47&lt;&gt;R47,"þ"," ")</f>
        <v>þ</v>
      </c>
    </row>
    <row r="48" spans="1:23" ht="12.75" customHeight="1">
      <c r="A48" s="120"/>
      <c r="B48" s="16"/>
      <c r="C48" s="7"/>
      <c r="D48" s="7"/>
      <c r="E48" s="7"/>
      <c r="F48" s="57" t="s">
        <v>18</v>
      </c>
      <c r="G48" s="77">
        <f>G11+G30</f>
        <v>92.299199999999999</v>
      </c>
      <c r="H48" s="78">
        <f>H11+H30</f>
        <v>91.671899999999994</v>
      </c>
      <c r="I48" s="52">
        <f t="shared" si="62"/>
        <v>-6.7963752665245458E-3</v>
      </c>
      <c r="J48" s="53">
        <f t="shared" si="63"/>
        <v>-0.6273000000000053</v>
      </c>
      <c r="K48" s="133" t="str">
        <f>IF(H48&lt;&gt;G48,"þ"," ")</f>
        <v>þ</v>
      </c>
      <c r="L48" s="120"/>
      <c r="M48" s="16"/>
      <c r="N48" s="7"/>
      <c r="O48" s="7"/>
      <c r="P48" s="7"/>
      <c r="Q48" s="57" t="s">
        <v>18</v>
      </c>
      <c r="R48" s="77">
        <f>R11+R30</f>
        <v>922.99199999999996</v>
      </c>
      <c r="S48" s="78">
        <f>S11+S30</f>
        <v>916.71899999999994</v>
      </c>
      <c r="T48" s="52">
        <f t="shared" si="64"/>
        <v>-6.7963752665245458E-3</v>
      </c>
      <c r="U48" s="53">
        <f t="shared" si="65"/>
        <v>-6.2730000000000246</v>
      </c>
      <c r="V48" s="133" t="str">
        <f>IF(S48&lt;&gt;R48,"þ"," ")</f>
        <v>þ</v>
      </c>
    </row>
    <row r="49" spans="1:22" ht="12.75" customHeight="1">
      <c r="A49" s="120"/>
      <c r="B49" s="15"/>
      <c r="C49" s="15"/>
      <c r="D49" s="15"/>
      <c r="E49" s="7"/>
      <c r="F49" s="57" t="s">
        <v>19</v>
      </c>
      <c r="G49" s="77">
        <f>G11+G36</f>
        <v>87.957300000000004</v>
      </c>
      <c r="H49" s="78">
        <f>H11+H36</f>
        <v>87.33</v>
      </c>
      <c r="I49" s="52">
        <f t="shared" si="62"/>
        <v>-7.1318696685779281E-3</v>
      </c>
      <c r="J49" s="53">
        <f t="shared" si="63"/>
        <v>-0.6273000000000053</v>
      </c>
      <c r="K49" s="133" t="str">
        <f>IF(H49&lt;&gt;G49,"þ"," ")</f>
        <v>þ</v>
      </c>
      <c r="L49" s="120"/>
      <c r="M49" s="15"/>
      <c r="N49" s="15"/>
      <c r="O49" s="15"/>
      <c r="P49" s="7"/>
      <c r="Q49" s="57" t="s">
        <v>19</v>
      </c>
      <c r="R49" s="77">
        <f>R11+R36</f>
        <v>879.57299999999998</v>
      </c>
      <c r="S49" s="78">
        <f>S11+S36</f>
        <v>873.3</v>
      </c>
      <c r="T49" s="52">
        <f t="shared" si="64"/>
        <v>-7.1318696685778171E-3</v>
      </c>
      <c r="U49" s="53">
        <f t="shared" si="65"/>
        <v>-6.2730000000000246</v>
      </c>
      <c r="V49" s="133" t="str">
        <f>IF(S49&lt;&gt;R49,"þ"," ")</f>
        <v>þ</v>
      </c>
    </row>
    <row r="50" spans="1:22" ht="12.75" customHeight="1">
      <c r="A50" s="120"/>
      <c r="B50" s="15"/>
      <c r="C50" s="15"/>
      <c r="D50" s="15"/>
      <c r="E50" s="7"/>
      <c r="F50" s="57" t="s">
        <v>69</v>
      </c>
      <c r="G50" s="77">
        <f>G11+G42</f>
        <v>89.052000000000007</v>
      </c>
      <c r="H50" s="78">
        <f>+H11+H42</f>
        <v>88.424700000000001</v>
      </c>
      <c r="I50" s="52">
        <f t="shared" ref="I50" si="68">IF(G50&gt;0,H50/G50-1,"")</f>
        <v>-7.0441988950277201E-3</v>
      </c>
      <c r="J50" s="53">
        <f t="shared" ref="J50" si="69">IF(G50&gt;0,H50-G50,"")</f>
        <v>-0.6273000000000053</v>
      </c>
      <c r="K50" s="133" t="str">
        <f>IF(H50&lt;&gt;G50,"þ"," ")</f>
        <v>þ</v>
      </c>
      <c r="L50" s="120"/>
      <c r="M50" s="15"/>
      <c r="N50" s="15"/>
      <c r="O50" s="15"/>
      <c r="P50" s="7"/>
      <c r="Q50" s="57" t="s">
        <v>69</v>
      </c>
      <c r="R50" s="77">
        <f>R11+R42</f>
        <v>890.52</v>
      </c>
      <c r="S50" s="78">
        <f>+S11+S42</f>
        <v>884.24699999999996</v>
      </c>
      <c r="T50" s="52">
        <f t="shared" si="64"/>
        <v>-7.0441988950276091E-3</v>
      </c>
      <c r="U50" s="53">
        <f t="shared" si="65"/>
        <v>-6.2730000000000246</v>
      </c>
      <c r="V50" s="133" t="str">
        <f>IF(S50&lt;&gt;R50,"þ"," ")</f>
        <v>þ</v>
      </c>
    </row>
    <row r="51" spans="1:22" ht="12.75" customHeight="1">
      <c r="A51" s="120"/>
      <c r="B51" s="3" t="s">
        <v>44</v>
      </c>
      <c r="C51" s="46"/>
      <c r="D51" s="56"/>
      <c r="E51" s="7"/>
      <c r="F51" s="7"/>
      <c r="G51" s="7"/>
      <c r="H51" s="7"/>
      <c r="I51" s="7"/>
      <c r="J51" s="7"/>
      <c r="K51" s="133"/>
      <c r="L51" s="120"/>
      <c r="M51" s="3" t="s">
        <v>44</v>
      </c>
      <c r="N51" s="46"/>
      <c r="O51" s="56"/>
      <c r="P51" s="7"/>
      <c r="Q51" s="7"/>
      <c r="R51" s="7"/>
      <c r="S51" s="7"/>
      <c r="T51" s="7"/>
      <c r="U51" s="7"/>
      <c r="V51" s="121"/>
    </row>
    <row r="52" spans="1:22" ht="12.75" customHeight="1">
      <c r="A52" s="120"/>
      <c r="B52" s="72" t="s">
        <v>45</v>
      </c>
      <c r="C52" s="72" t="s">
        <v>15</v>
      </c>
      <c r="D52" s="72"/>
      <c r="E52" s="73" t="s">
        <v>2</v>
      </c>
      <c r="F52" s="73"/>
      <c r="G52" s="74" t="s">
        <v>3</v>
      </c>
      <c r="H52" s="73"/>
      <c r="I52" s="73"/>
      <c r="J52" s="73"/>
      <c r="K52" s="133"/>
      <c r="L52" s="120"/>
      <c r="M52" s="72" t="s">
        <v>45</v>
      </c>
      <c r="N52" s="72" t="s">
        <v>15</v>
      </c>
      <c r="O52" s="72"/>
      <c r="P52" s="73" t="s">
        <v>2</v>
      </c>
      <c r="Q52" s="73"/>
      <c r="R52" s="74" t="s">
        <v>3</v>
      </c>
      <c r="S52" s="73"/>
      <c r="T52" s="73"/>
      <c r="U52" s="73"/>
      <c r="V52" s="121"/>
    </row>
    <row r="53" spans="1:22" ht="12.75" customHeight="1">
      <c r="A53" s="120"/>
      <c r="B53" s="16" t="s">
        <v>0</v>
      </c>
      <c r="C53" s="7" t="s">
        <v>11</v>
      </c>
      <c r="D53" s="16" t="s">
        <v>1</v>
      </c>
      <c r="E53" s="58" t="s">
        <v>55</v>
      </c>
      <c r="F53" s="51" t="s">
        <v>59</v>
      </c>
      <c r="G53" s="58" t="s">
        <v>58</v>
      </c>
      <c r="H53" s="51" t="s">
        <v>59</v>
      </c>
      <c r="I53" s="64" t="s">
        <v>60</v>
      </c>
      <c r="J53" s="65" t="s">
        <v>33</v>
      </c>
      <c r="K53" s="133"/>
      <c r="L53" s="120"/>
      <c r="M53" s="16" t="s">
        <v>0</v>
      </c>
      <c r="N53" s="7" t="s">
        <v>11</v>
      </c>
      <c r="O53" s="16" t="s">
        <v>1</v>
      </c>
      <c r="P53" s="58" t="str">
        <f>E53</f>
        <v>do 23-01-04</v>
      </c>
      <c r="Q53" s="51" t="str">
        <f t="shared" ref="Q53" si="70">F53</f>
        <v>od 23-07-01</v>
      </c>
      <c r="R53" s="58" t="str">
        <f t="shared" ref="R53" si="71">G53</f>
        <v>do 23-06-30</v>
      </c>
      <c r="S53" s="51" t="str">
        <f t="shared" ref="S53" si="72">H53</f>
        <v>od 23-07-01</v>
      </c>
      <c r="T53" s="64" t="s">
        <v>60</v>
      </c>
      <c r="U53" s="65" t="s">
        <v>33</v>
      </c>
      <c r="V53" s="121"/>
    </row>
    <row r="54" spans="1:22" ht="12.75" customHeight="1">
      <c r="A54" s="120"/>
      <c r="B54" s="16">
        <v>1</v>
      </c>
      <c r="C54" s="7" t="s">
        <v>9</v>
      </c>
      <c r="D54" s="10" t="s">
        <v>5</v>
      </c>
      <c r="E54" s="81">
        <v>349749.06</v>
      </c>
      <c r="F54" s="79">
        <v>349749.06</v>
      </c>
      <c r="G54" s="82">
        <f t="shared" ref="G54:H57" si="73">E54*(1+$J$3)</f>
        <v>430191.34379999997</v>
      </c>
      <c r="H54" s="80">
        <f t="shared" si="73"/>
        <v>430191.34379999997</v>
      </c>
      <c r="I54" s="54">
        <f t="shared" ref="I54:I56" si="74">IF(G54&gt;0,H54/G54-1,"")</f>
        <v>0</v>
      </c>
      <c r="J54" s="55">
        <f t="shared" ref="J54:J56" si="75">IF(G54&gt;0,H54-G54,"")</f>
        <v>0</v>
      </c>
      <c r="K54" s="133" t="str">
        <f>IF(H54&lt;&gt;G54,"þ"," ")</f>
        <v xml:space="preserve"> </v>
      </c>
      <c r="L54" s="120"/>
      <c r="M54" s="16">
        <v>1</v>
      </c>
      <c r="N54" s="7" t="s">
        <v>9</v>
      </c>
      <c r="O54" s="10" t="s">
        <v>5</v>
      </c>
      <c r="P54" s="81">
        <f t="shared" ref="P54:S55" si="76">$Q$5*E54/1000</f>
        <v>1748.7453</v>
      </c>
      <c r="Q54" s="79">
        <f t="shared" si="76"/>
        <v>1748.7453</v>
      </c>
      <c r="R54" s="82">
        <f t="shared" si="76"/>
        <v>2150.9567190000002</v>
      </c>
      <c r="S54" s="80">
        <f t="shared" si="76"/>
        <v>2150.9567190000002</v>
      </c>
      <c r="T54" s="54">
        <f t="shared" ref="T54:T57" si="77">IF(R54&gt;0,S54/R54-1,"")</f>
        <v>0</v>
      </c>
      <c r="U54" s="55">
        <f t="shared" ref="U54:U57" si="78">IF(R54&gt;0,S54-R54,"")</f>
        <v>0</v>
      </c>
      <c r="V54" s="133" t="str">
        <f t="shared" ref="V54:V57" si="79">IF(S54&lt;&gt;R54,"þ"," ")</f>
        <v xml:space="preserve"> </v>
      </c>
    </row>
    <row r="55" spans="1:22" ht="12.75" customHeight="1">
      <c r="A55" s="120"/>
      <c r="B55" s="16"/>
      <c r="C55" s="7"/>
      <c r="D55" s="10" t="s">
        <v>6</v>
      </c>
      <c r="E55" s="81">
        <v>29145.759999999998</v>
      </c>
      <c r="F55" s="79">
        <v>29145.759999999998</v>
      </c>
      <c r="G55" s="82">
        <f t="shared" si="73"/>
        <v>35849.284799999994</v>
      </c>
      <c r="H55" s="80">
        <f t="shared" si="73"/>
        <v>35849.284799999994</v>
      </c>
      <c r="I55" s="54">
        <f t="shared" si="74"/>
        <v>0</v>
      </c>
      <c r="J55" s="55">
        <f t="shared" si="75"/>
        <v>0</v>
      </c>
      <c r="K55" s="133" t="str">
        <f>IF(H55&lt;&gt;G55,"þ"," ")</f>
        <v xml:space="preserve"> </v>
      </c>
      <c r="L55" s="120"/>
      <c r="M55" s="16"/>
      <c r="N55" s="7"/>
      <c r="O55" s="10" t="s">
        <v>6</v>
      </c>
      <c r="P55" s="81">
        <f t="shared" si="76"/>
        <v>145.72879999999998</v>
      </c>
      <c r="Q55" s="79">
        <f t="shared" si="76"/>
        <v>145.72879999999998</v>
      </c>
      <c r="R55" s="82">
        <f t="shared" si="76"/>
        <v>179.24642399999996</v>
      </c>
      <c r="S55" s="80">
        <f t="shared" si="76"/>
        <v>179.24642399999996</v>
      </c>
      <c r="T55" s="54">
        <f t="shared" si="77"/>
        <v>0</v>
      </c>
      <c r="U55" s="55">
        <f t="shared" si="78"/>
        <v>0</v>
      </c>
      <c r="V55" s="124" t="str">
        <f t="shared" si="79"/>
        <v xml:space="preserve"> </v>
      </c>
    </row>
    <row r="56" spans="1:22" ht="12.75" customHeight="1">
      <c r="A56" s="120"/>
      <c r="B56" s="16">
        <v>2</v>
      </c>
      <c r="C56" s="7" t="s">
        <v>10</v>
      </c>
      <c r="D56" s="10" t="s">
        <v>7</v>
      </c>
      <c r="E56" s="81">
        <v>89.27</v>
      </c>
      <c r="F56" s="79">
        <v>89.27</v>
      </c>
      <c r="G56" s="82">
        <f t="shared" si="73"/>
        <v>109.8021</v>
      </c>
      <c r="H56" s="80">
        <f t="shared" si="73"/>
        <v>109.8021</v>
      </c>
      <c r="I56" s="54">
        <f t="shared" si="74"/>
        <v>0</v>
      </c>
      <c r="J56" s="55">
        <f t="shared" si="75"/>
        <v>0</v>
      </c>
      <c r="K56" s="133" t="str">
        <f>IF(H56&lt;&gt;G56,"þ"," ")</f>
        <v xml:space="preserve"> </v>
      </c>
      <c r="L56" s="120"/>
      <c r="M56" s="16">
        <v>2</v>
      </c>
      <c r="N56" s="7" t="s">
        <v>10</v>
      </c>
      <c r="O56" s="10" t="s">
        <v>7</v>
      </c>
      <c r="P56" s="81">
        <f>$S$5*E56</f>
        <v>892.69999999999993</v>
      </c>
      <c r="Q56" s="79">
        <f>$S$5*F56</f>
        <v>892.69999999999993</v>
      </c>
      <c r="R56" s="82">
        <f>$S$5*G56</f>
        <v>1098.021</v>
      </c>
      <c r="S56" s="80">
        <f>$S$5*H56</f>
        <v>1098.021</v>
      </c>
      <c r="T56" s="54">
        <f t="shared" si="77"/>
        <v>0</v>
      </c>
      <c r="U56" s="55">
        <f t="shared" si="78"/>
        <v>0</v>
      </c>
      <c r="V56" s="124" t="str">
        <f t="shared" si="79"/>
        <v xml:space="preserve"> </v>
      </c>
    </row>
    <row r="57" spans="1:22" ht="12.75" customHeight="1">
      <c r="A57" s="120"/>
      <c r="B57" s="16">
        <v>3</v>
      </c>
      <c r="C57" s="7" t="s">
        <v>4</v>
      </c>
      <c r="D57" s="10" t="s">
        <v>8</v>
      </c>
      <c r="E57" s="81">
        <v>26.84</v>
      </c>
      <c r="F57" s="79">
        <v>26.84</v>
      </c>
      <c r="G57" s="82">
        <f t="shared" si="73"/>
        <v>33.013199999999998</v>
      </c>
      <c r="H57" s="80">
        <f t="shared" si="73"/>
        <v>33.013199999999998</v>
      </c>
      <c r="I57" s="54">
        <f t="shared" ref="I57" si="80">IF(G57&gt;0,H57/G57-1,"")</f>
        <v>0</v>
      </c>
      <c r="J57" s="55">
        <f t="shared" ref="J57" si="81">IF(G57&gt;0,H57-G57,"")</f>
        <v>0</v>
      </c>
      <c r="K57" s="133" t="str">
        <f>IF(H57&lt;&gt;G57,"þ"," ")</f>
        <v xml:space="preserve"> </v>
      </c>
      <c r="L57" s="120"/>
      <c r="M57" s="16">
        <v>3</v>
      </c>
      <c r="N57" s="7" t="s">
        <v>4</v>
      </c>
      <c r="O57" s="10" t="s">
        <v>8</v>
      </c>
      <c r="P57" s="81"/>
      <c r="Q57" s="79"/>
      <c r="R57" s="82"/>
      <c r="S57" s="80"/>
      <c r="T57" s="54" t="str">
        <f t="shared" si="77"/>
        <v/>
      </c>
      <c r="U57" s="55" t="str">
        <f t="shared" si="78"/>
        <v/>
      </c>
      <c r="V57" s="124" t="str">
        <f t="shared" si="79"/>
        <v xml:space="preserve"> </v>
      </c>
    </row>
    <row r="58" spans="1:22" ht="5.0999999999999996" customHeight="1">
      <c r="A58" s="120"/>
      <c r="B58" s="45"/>
      <c r="C58" s="46"/>
      <c r="D58" s="56"/>
      <c r="E58" s="7"/>
      <c r="F58" s="7"/>
      <c r="G58" s="7"/>
      <c r="H58" s="7"/>
      <c r="I58" s="7"/>
      <c r="J58" s="7"/>
      <c r="K58" s="133"/>
      <c r="L58" s="120"/>
      <c r="M58" s="45"/>
      <c r="N58" s="46"/>
      <c r="O58" s="56"/>
      <c r="P58" s="7"/>
      <c r="Q58" s="7"/>
      <c r="R58" s="7"/>
      <c r="S58" s="7"/>
      <c r="T58" s="7"/>
      <c r="U58" s="7"/>
      <c r="V58" s="121"/>
    </row>
    <row r="59" spans="1:22" ht="12.75" customHeight="1">
      <c r="A59" s="120"/>
      <c r="B59" s="72" t="s">
        <v>46</v>
      </c>
      <c r="C59" s="72" t="s">
        <v>15</v>
      </c>
      <c r="D59" s="72" t="s">
        <v>51</v>
      </c>
      <c r="E59" s="73" t="s">
        <v>2</v>
      </c>
      <c r="F59" s="73"/>
      <c r="G59" s="74" t="s">
        <v>3</v>
      </c>
      <c r="H59" s="73"/>
      <c r="I59" s="73"/>
      <c r="J59" s="73"/>
      <c r="K59" s="133"/>
      <c r="L59" s="120"/>
      <c r="M59" s="72" t="s">
        <v>46</v>
      </c>
      <c r="N59" s="72" t="s">
        <v>15</v>
      </c>
      <c r="O59" s="72" t="s">
        <v>51</v>
      </c>
      <c r="P59" s="73" t="s">
        <v>2</v>
      </c>
      <c r="Q59" s="73"/>
      <c r="R59" s="74" t="s">
        <v>3</v>
      </c>
      <c r="S59" s="73"/>
      <c r="T59" s="73"/>
      <c r="U59" s="73"/>
      <c r="V59" s="121"/>
    </row>
    <row r="60" spans="1:22" ht="12.75" customHeight="1">
      <c r="A60" s="120"/>
      <c r="B60" s="16"/>
      <c r="C60" s="7"/>
      <c r="D60" s="16"/>
      <c r="E60" s="58" t="s">
        <v>61</v>
      </c>
      <c r="F60" s="51" t="s">
        <v>62</v>
      </c>
      <c r="G60" s="58" t="s">
        <v>61</v>
      </c>
      <c r="H60" s="51" t="s">
        <v>62</v>
      </c>
      <c r="I60" s="64" t="s">
        <v>60</v>
      </c>
      <c r="J60" s="65" t="s">
        <v>33</v>
      </c>
      <c r="K60" s="133"/>
      <c r="L60" s="120"/>
      <c r="M60" s="16"/>
      <c r="N60" s="7"/>
      <c r="O60" s="16"/>
      <c r="P60" s="58" t="str">
        <f>E60</f>
        <v>do 30-06-24</v>
      </c>
      <c r="Q60" s="51" t="str">
        <f t="shared" ref="Q60" si="82">F60</f>
        <v>od 01-07-24</v>
      </c>
      <c r="R60" s="58" t="str">
        <f t="shared" ref="R60" si="83">G60</f>
        <v>do 30-06-24</v>
      </c>
      <c r="S60" s="51" t="str">
        <f t="shared" ref="S60" si="84">H60</f>
        <v>od 01-07-24</v>
      </c>
      <c r="T60" s="64" t="s">
        <v>60</v>
      </c>
      <c r="U60" s="65" t="s">
        <v>33</v>
      </c>
      <c r="V60" s="121"/>
    </row>
    <row r="61" spans="1:22" ht="12.75" customHeight="1">
      <c r="A61" s="120"/>
      <c r="B61" s="16">
        <v>1</v>
      </c>
      <c r="C61" s="7" t="s">
        <v>12</v>
      </c>
      <c r="D61" s="10" t="s">
        <v>5</v>
      </c>
      <c r="E61" s="81">
        <v>48187.23</v>
      </c>
      <c r="F61" s="79">
        <v>48187.23</v>
      </c>
      <c r="G61" s="82">
        <f t="shared" ref="G61:H63" si="85">E61*(1+$J$3)</f>
        <v>59270.2929</v>
      </c>
      <c r="H61" s="80">
        <f t="shared" si="85"/>
        <v>59270.2929</v>
      </c>
      <c r="I61" s="54">
        <f t="shared" ref="I61:I63" si="86">IF(G61&gt;0,H61/G61-1,"")</f>
        <v>0</v>
      </c>
      <c r="J61" s="55">
        <f t="shared" ref="J61:J63" si="87">IF(G61&gt;0,H61-G61,"")</f>
        <v>0</v>
      </c>
      <c r="K61" s="133" t="str">
        <f>IF(H61&lt;&gt;G61,"þ"," ")</f>
        <v xml:space="preserve"> </v>
      </c>
      <c r="L61" s="120"/>
      <c r="M61" s="16">
        <v>1</v>
      </c>
      <c r="N61" s="7" t="s">
        <v>12</v>
      </c>
      <c r="O61" s="10" t="s">
        <v>5</v>
      </c>
      <c r="P61" s="81">
        <f t="shared" ref="P61:S62" si="88">$Q$5*E61/1000</f>
        <v>240.93615000000003</v>
      </c>
      <c r="Q61" s="79">
        <f t="shared" si="88"/>
        <v>240.93615000000003</v>
      </c>
      <c r="R61" s="82">
        <f t="shared" si="88"/>
        <v>296.35146450000002</v>
      </c>
      <c r="S61" s="80">
        <f t="shared" si="88"/>
        <v>296.35146450000002</v>
      </c>
      <c r="T61" s="54">
        <f t="shared" ref="T61:T63" si="89">IF(R61&gt;0,S61/R61-1,"")</f>
        <v>0</v>
      </c>
      <c r="U61" s="55">
        <f t="shared" ref="U61:U63" si="90">IF(R61&gt;0,S61-R61,"")</f>
        <v>0</v>
      </c>
      <c r="V61" s="133" t="str">
        <f>IF(S61&lt;&gt;R61,"þ"," ")</f>
        <v xml:space="preserve"> </v>
      </c>
    </row>
    <row r="62" spans="1:22" ht="12.75" customHeight="1">
      <c r="A62" s="120"/>
      <c r="B62" s="16"/>
      <c r="C62" s="7"/>
      <c r="D62" s="10" t="s">
        <v>6</v>
      </c>
      <c r="E62" s="81">
        <v>4015.6</v>
      </c>
      <c r="F62" s="79">
        <v>4015.6</v>
      </c>
      <c r="G62" s="82">
        <f t="shared" si="85"/>
        <v>4939.1880000000001</v>
      </c>
      <c r="H62" s="80">
        <f t="shared" si="85"/>
        <v>4939.1880000000001</v>
      </c>
      <c r="I62" s="54">
        <f t="shared" si="86"/>
        <v>0</v>
      </c>
      <c r="J62" s="55">
        <f t="shared" si="87"/>
        <v>0</v>
      </c>
      <c r="K62" s="133" t="str">
        <f>IF(H62&lt;&gt;G62,"þ"," ")</f>
        <v xml:space="preserve"> </v>
      </c>
      <c r="L62" s="120"/>
      <c r="M62" s="16"/>
      <c r="N62" s="7"/>
      <c r="O62" s="10" t="s">
        <v>6</v>
      </c>
      <c r="P62" s="81">
        <f t="shared" si="88"/>
        <v>20.077999999999999</v>
      </c>
      <c r="Q62" s="79">
        <f t="shared" si="88"/>
        <v>20.077999999999999</v>
      </c>
      <c r="R62" s="82">
        <f t="shared" si="88"/>
        <v>24.695940000000004</v>
      </c>
      <c r="S62" s="80">
        <f t="shared" si="88"/>
        <v>24.695940000000004</v>
      </c>
      <c r="T62" s="54">
        <f t="shared" si="89"/>
        <v>0</v>
      </c>
      <c r="U62" s="55">
        <f t="shared" si="90"/>
        <v>0</v>
      </c>
      <c r="V62" s="124" t="str">
        <f>IF(S62&lt;&gt;R62,"þ"," ")</f>
        <v xml:space="preserve"> </v>
      </c>
    </row>
    <row r="63" spans="1:22" ht="12.75" customHeight="1">
      <c r="A63" s="120"/>
      <c r="B63" s="16">
        <v>2</v>
      </c>
      <c r="C63" s="7" t="s">
        <v>13</v>
      </c>
      <c r="D63" s="10" t="s">
        <v>7</v>
      </c>
      <c r="E63" s="81">
        <v>13.61</v>
      </c>
      <c r="F63" s="79">
        <v>13.61</v>
      </c>
      <c r="G63" s="82">
        <f t="shared" si="85"/>
        <v>16.740299999999998</v>
      </c>
      <c r="H63" s="80">
        <f t="shared" si="85"/>
        <v>16.740299999999998</v>
      </c>
      <c r="I63" s="54">
        <f t="shared" si="86"/>
        <v>0</v>
      </c>
      <c r="J63" s="55">
        <f t="shared" si="87"/>
        <v>0</v>
      </c>
      <c r="K63" s="133" t="str">
        <f>IF(H63&lt;&gt;G63,"þ"," ")</f>
        <v xml:space="preserve"> </v>
      </c>
      <c r="L63" s="120"/>
      <c r="M63" s="16">
        <v>2</v>
      </c>
      <c r="N63" s="7" t="s">
        <v>13</v>
      </c>
      <c r="O63" s="10" t="s">
        <v>7</v>
      </c>
      <c r="P63" s="81">
        <f>$S$5*E63</f>
        <v>136.1</v>
      </c>
      <c r="Q63" s="79">
        <f>$S$5*F63</f>
        <v>136.1</v>
      </c>
      <c r="R63" s="82">
        <f>$S$5*G63</f>
        <v>167.40299999999996</v>
      </c>
      <c r="S63" s="80">
        <f>$S$5*H63</f>
        <v>167.40299999999996</v>
      </c>
      <c r="T63" s="54">
        <f t="shared" si="89"/>
        <v>0</v>
      </c>
      <c r="U63" s="55">
        <f t="shared" si="90"/>
        <v>0</v>
      </c>
      <c r="V63" s="124" t="str">
        <f>IF(S63&lt;&gt;R63,"þ"," ")</f>
        <v xml:space="preserve"> </v>
      </c>
    </row>
    <row r="64" spans="1:22" ht="5.0999999999999996" customHeight="1">
      <c r="A64" s="130"/>
      <c r="B64" s="131"/>
      <c r="C64" s="100"/>
      <c r="D64" s="100"/>
      <c r="E64" s="100"/>
      <c r="F64" s="100"/>
      <c r="G64" s="100"/>
      <c r="H64" s="100"/>
      <c r="I64" s="100"/>
      <c r="J64" s="100"/>
      <c r="K64" s="137"/>
      <c r="L64" s="130"/>
      <c r="M64" s="131"/>
      <c r="N64" s="100"/>
      <c r="O64" s="100"/>
      <c r="P64" s="100"/>
      <c r="Q64" s="100"/>
      <c r="R64" s="100"/>
      <c r="S64" s="100"/>
      <c r="T64" s="100"/>
      <c r="U64" s="100"/>
      <c r="V64" s="137"/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2"/>
  <sheetViews>
    <sheetView showGridLines="0" tabSelected="1" zoomScaleNormal="100" workbookViewId="0">
      <selection activeCell="F8" sqref="F8"/>
    </sheetView>
  </sheetViews>
  <sheetFormatPr defaultRowHeight="12.75"/>
  <cols>
    <col min="1" max="1" width="4.7109375" style="6" customWidth="1"/>
    <col min="2" max="2" width="4.7109375" style="44" customWidth="1"/>
    <col min="3" max="3" width="20.7109375" style="6" customWidth="1"/>
    <col min="4" max="9" width="10.7109375" style="6" customWidth="1"/>
    <col min="10" max="10" width="4.7109375" style="6" customWidth="1"/>
    <col min="11" max="11" width="4.42578125" style="6" customWidth="1"/>
    <col min="12" max="16384" width="9.140625" style="6"/>
  </cols>
  <sheetData>
    <row r="1" spans="1:14" ht="12.75" customHeight="1">
      <c r="A1" s="113"/>
      <c r="B1" s="138" t="s">
        <v>38</v>
      </c>
      <c r="C1" s="115" t="s">
        <v>42</v>
      </c>
      <c r="D1" s="116"/>
      <c r="E1" s="116"/>
      <c r="F1" s="116"/>
      <c r="G1" s="116"/>
      <c r="H1" s="117" t="s">
        <v>40</v>
      </c>
      <c r="I1" s="118">
        <f>Ceny!J1</f>
        <v>45931</v>
      </c>
      <c r="J1" s="119"/>
    </row>
    <row r="2" spans="1:14" ht="18" customHeight="1">
      <c r="A2" s="120"/>
      <c r="B2" s="66"/>
      <c r="C2" s="67" t="s">
        <v>37</v>
      </c>
      <c r="D2" s="66"/>
      <c r="E2" s="66"/>
      <c r="F2" s="66"/>
      <c r="G2" s="66"/>
      <c r="H2" s="66"/>
      <c r="I2" s="68">
        <f>Ceny!J2</f>
        <v>2025</v>
      </c>
      <c r="J2" s="121"/>
    </row>
    <row r="3" spans="1:14" ht="18" customHeight="1">
      <c r="A3" s="120"/>
      <c r="B3" s="66"/>
      <c r="C3" s="69" t="s">
        <v>32</v>
      </c>
      <c r="D3" s="66"/>
      <c r="E3" s="66"/>
      <c r="F3" s="66"/>
      <c r="G3" s="66"/>
      <c r="H3" s="70" t="s">
        <v>57</v>
      </c>
      <c r="I3" s="71">
        <f>Ceny!J3</f>
        <v>0.23</v>
      </c>
      <c r="J3" s="121"/>
    </row>
    <row r="4" spans="1:14" ht="15" customHeight="1">
      <c r="A4" s="120"/>
      <c r="B4" s="16"/>
      <c r="C4" s="17" t="s">
        <v>41</v>
      </c>
      <c r="D4" s="18"/>
      <c r="E4" s="18"/>
      <c r="F4" s="18"/>
      <c r="G4" s="18"/>
      <c r="H4" s="18"/>
      <c r="I4" s="19"/>
      <c r="J4" s="121"/>
    </row>
    <row r="5" spans="1:14" ht="15" customHeight="1">
      <c r="A5" s="120"/>
      <c r="B5" s="16"/>
      <c r="C5" s="18" t="str">
        <f>IF(LEN(Ceny!C5&gt;0),Ceny!C5," ")</f>
        <v>Zmiana cen energii PAK-PCE Biopaliwa i Wodór Sp. z o.o. od dnia 01-10-2025r.</v>
      </c>
      <c r="D5" s="20"/>
      <c r="E5" s="20"/>
      <c r="F5" s="20"/>
      <c r="G5" s="20"/>
      <c r="H5" s="20"/>
      <c r="I5" s="7"/>
      <c r="J5" s="121"/>
    </row>
    <row r="6" spans="1:14" ht="15" customHeight="1">
      <c r="A6" s="120"/>
      <c r="B6" s="72" t="s">
        <v>16</v>
      </c>
      <c r="C6" s="72" t="s">
        <v>25</v>
      </c>
      <c r="D6" s="72"/>
      <c r="E6" s="72"/>
      <c r="F6" s="72"/>
      <c r="G6" s="72"/>
      <c r="H6" s="72"/>
      <c r="I6" s="72"/>
      <c r="J6" s="121"/>
    </row>
    <row r="7" spans="1:14" ht="15" customHeight="1">
      <c r="A7" s="120"/>
      <c r="B7" s="7"/>
      <c r="C7" s="7"/>
      <c r="D7" s="7"/>
      <c r="E7" s="7"/>
      <c r="F7" s="7"/>
      <c r="G7" s="7"/>
      <c r="H7" s="7"/>
      <c r="I7" s="7"/>
      <c r="J7" s="121"/>
    </row>
    <row r="8" spans="1:14" ht="15" customHeight="1">
      <c r="A8" s="122"/>
      <c r="B8" s="16">
        <v>1</v>
      </c>
      <c r="C8" s="22" t="s">
        <v>34</v>
      </c>
      <c r="D8" s="15"/>
      <c r="E8" s="15"/>
      <c r="F8" s="87">
        <v>5</v>
      </c>
      <c r="G8" s="10" t="s">
        <v>26</v>
      </c>
      <c r="H8" s="85">
        <f>F8/1000</f>
        <v>5.0000000000000001E-3</v>
      </c>
      <c r="I8" s="5" t="s">
        <v>96</v>
      </c>
      <c r="J8" s="123"/>
    </row>
    <row r="9" spans="1:14" ht="15" customHeight="1">
      <c r="A9" s="122"/>
      <c r="B9" s="15"/>
      <c r="C9" s="24" t="s">
        <v>26</v>
      </c>
      <c r="D9" s="15"/>
      <c r="E9" s="15"/>
      <c r="F9" s="15"/>
      <c r="G9" s="15"/>
      <c r="H9" s="15"/>
      <c r="I9" s="15"/>
      <c r="J9" s="123"/>
    </row>
    <row r="10" spans="1:14" ht="15" customHeight="1">
      <c r="A10" s="122"/>
      <c r="B10" s="15"/>
      <c r="C10" s="15"/>
      <c r="D10" s="15"/>
      <c r="E10" s="15"/>
      <c r="F10" s="15"/>
      <c r="G10" s="15"/>
      <c r="H10" s="15"/>
      <c r="I10" s="15"/>
      <c r="J10" s="123"/>
    </row>
    <row r="11" spans="1:14" ht="15" customHeight="1">
      <c r="A11" s="122"/>
      <c r="B11" s="16">
        <v>2</v>
      </c>
      <c r="C11" s="22" t="s">
        <v>35</v>
      </c>
      <c r="D11" s="15"/>
      <c r="E11" s="15"/>
      <c r="F11" s="87">
        <v>10</v>
      </c>
      <c r="G11" s="10" t="s">
        <v>28</v>
      </c>
      <c r="H11" s="86">
        <f>F11/3.6/0.001</f>
        <v>2777.7777777777778</v>
      </c>
      <c r="I11" s="63" t="s">
        <v>97</v>
      </c>
      <c r="J11" s="123"/>
    </row>
    <row r="12" spans="1:14" ht="15" customHeight="1">
      <c r="A12" s="122"/>
      <c r="B12" s="7"/>
      <c r="C12" s="24" t="s">
        <v>28</v>
      </c>
      <c r="D12" s="7"/>
      <c r="E12" s="10"/>
      <c r="F12" s="25"/>
      <c r="G12" s="26"/>
      <c r="H12" s="7"/>
      <c r="I12" s="24"/>
      <c r="J12" s="121"/>
    </row>
    <row r="13" spans="1:14" ht="15" customHeight="1">
      <c r="A13" s="122"/>
      <c r="B13" s="15"/>
      <c r="C13" s="15"/>
      <c r="D13" s="27"/>
      <c r="E13" s="5" t="s">
        <v>71</v>
      </c>
      <c r="F13" s="15"/>
      <c r="G13" s="7"/>
      <c r="H13" s="7"/>
      <c r="I13" s="7"/>
      <c r="J13" s="121"/>
    </row>
    <row r="14" spans="1:14" ht="15" customHeight="1">
      <c r="A14" s="122"/>
      <c r="B14" s="7"/>
      <c r="C14" s="24"/>
      <c r="D14" s="27"/>
      <c r="E14" s="5" t="s">
        <v>73</v>
      </c>
      <c r="F14" s="15"/>
      <c r="G14" s="7"/>
      <c r="H14" s="7"/>
      <c r="I14" s="7"/>
      <c r="J14" s="124"/>
      <c r="M14" s="16"/>
      <c r="N14" s="22"/>
    </row>
    <row r="15" spans="1:14" ht="15" customHeight="1">
      <c r="A15" s="122"/>
      <c r="B15" s="16">
        <v>3</v>
      </c>
      <c r="C15" s="22" t="s">
        <v>95</v>
      </c>
      <c r="D15" s="62">
        <v>1</v>
      </c>
      <c r="E15" s="5" t="s">
        <v>70</v>
      </c>
      <c r="F15" s="15"/>
      <c r="G15" s="8"/>
      <c r="H15" s="9"/>
      <c r="I15" s="10"/>
      <c r="J15" s="121"/>
      <c r="M15" s="16"/>
    </row>
    <row r="16" spans="1:14" ht="15" customHeight="1">
      <c r="A16" s="122"/>
      <c r="B16" s="21"/>
      <c r="C16" s="15" t="s">
        <v>27</v>
      </c>
      <c r="D16" s="27"/>
      <c r="E16" s="5" t="s">
        <v>74</v>
      </c>
      <c r="F16" s="15"/>
      <c r="G16" s="7"/>
      <c r="H16" s="7"/>
      <c r="I16" s="7"/>
      <c r="J16" s="121"/>
    </row>
    <row r="17" spans="1:13" ht="15" customHeight="1">
      <c r="A17" s="122"/>
      <c r="B17" s="7"/>
      <c r="C17" s="15"/>
      <c r="D17" s="27"/>
      <c r="E17" s="5" t="s">
        <v>75</v>
      </c>
      <c r="F17" s="15"/>
      <c r="G17" s="7"/>
      <c r="H17" s="7"/>
      <c r="I17" s="7"/>
      <c r="J17" s="124"/>
    </row>
    <row r="18" spans="1:13" ht="15" customHeight="1">
      <c r="A18" s="122"/>
      <c r="B18" s="7"/>
      <c r="C18" s="7"/>
      <c r="D18" s="27"/>
      <c r="E18" s="5" t="s">
        <v>72</v>
      </c>
      <c r="F18" s="15"/>
      <c r="G18" s="7"/>
      <c r="H18" s="7"/>
      <c r="I18" s="7"/>
      <c r="J18" s="121"/>
    </row>
    <row r="19" spans="1:13" ht="15" customHeight="1">
      <c r="A19" s="122"/>
      <c r="B19" s="21"/>
      <c r="C19" s="15"/>
      <c r="D19" s="7"/>
      <c r="E19" s="7"/>
      <c r="F19" s="7"/>
      <c r="G19" s="15"/>
      <c r="H19" s="15"/>
      <c r="I19" s="22"/>
      <c r="J19" s="125"/>
    </row>
    <row r="20" spans="1:13" ht="15" customHeight="1">
      <c r="A20" s="120"/>
      <c r="B20" s="16">
        <v>4</v>
      </c>
      <c r="C20" s="22" t="s">
        <v>92</v>
      </c>
      <c r="D20" s="15"/>
      <c r="E20" s="15"/>
      <c r="F20" s="88">
        <v>1</v>
      </c>
      <c r="G20" s="10" t="s">
        <v>93</v>
      </c>
      <c r="H20" s="15"/>
      <c r="I20" s="61">
        <v>1</v>
      </c>
      <c r="J20" s="123"/>
    </row>
    <row r="21" spans="1:13" ht="15" customHeight="1">
      <c r="A21" s="120"/>
      <c r="B21" s="16"/>
      <c r="C21" s="24" t="s">
        <v>80</v>
      </c>
      <c r="D21" s="22"/>
      <c r="E21" s="22"/>
      <c r="F21" s="15"/>
      <c r="G21" s="15"/>
      <c r="H21" s="15"/>
      <c r="I21" s="28"/>
      <c r="J21" s="125"/>
      <c r="K21" s="32"/>
    </row>
    <row r="22" spans="1:13" ht="15" customHeight="1">
      <c r="A22" s="126">
        <f>IF(H32&lt;&gt;0,IF(D15=4,0,H26/H32),0)</f>
        <v>0.7125745510709478</v>
      </c>
      <c r="B22" s="72" t="s">
        <v>17</v>
      </c>
      <c r="C22" s="72" t="s">
        <v>91</v>
      </c>
      <c r="D22" s="83" t="str">
        <f>IF($D$15=6,"Dla grupy A5 tylko opłaty MPEC-KONIN Sp. z o.o."," ")</f>
        <v xml:space="preserve"> </v>
      </c>
      <c r="E22" s="84"/>
      <c r="F22" s="84"/>
      <c r="G22" s="73" t="s">
        <v>47</v>
      </c>
      <c r="H22" s="74" t="s">
        <v>39</v>
      </c>
      <c r="I22" s="73" t="s">
        <v>60</v>
      </c>
      <c r="J22" s="127"/>
      <c r="M22" s="4"/>
    </row>
    <row r="23" spans="1:13" ht="15" customHeight="1">
      <c r="A23" s="126">
        <f>1-A22+0.001</f>
        <v>0.2884254489290522</v>
      </c>
      <c r="B23" s="7"/>
      <c r="C23" s="15"/>
      <c r="D23" s="30"/>
      <c r="E23" s="30"/>
      <c r="F23" s="30"/>
      <c r="G23" s="15"/>
      <c r="H23" s="15"/>
      <c r="I23" s="31"/>
      <c r="J23" s="127"/>
      <c r="L23" s="4"/>
      <c r="M23" s="4"/>
    </row>
    <row r="24" spans="1:13" ht="15" customHeight="1">
      <c r="A24" s="120"/>
      <c r="B24" s="16">
        <v>1</v>
      </c>
      <c r="C24" s="7" t="s">
        <v>52</v>
      </c>
      <c r="D24" s="60"/>
      <c r="E24" s="60">
        <f>IF(H32&lt;&gt;0,IF(D15=6,0,H26/H32),0)</f>
        <v>0.7125745510709478</v>
      </c>
      <c r="F24" s="60">
        <f>1-E24</f>
        <v>0.2874254489290522</v>
      </c>
      <c r="G24" s="33">
        <f>IF(I20=1,IF(D15&lt;=5,D46,I46),IF(D15&lt;=5,D46*(1+Ceny!J3),I46*(1+Ceny!J3)))</f>
        <v>121.19805000000001</v>
      </c>
      <c r="H24" s="34">
        <f>IF(I20=1,IF(D15&lt;=5,D38,I38),IF(D15&lt;=5,D38*(1+Ceny!J3),I38*(1+Ceny!J3)))</f>
        <v>122.29774999999999</v>
      </c>
      <c r="I24" s="35">
        <f>IF(G24&gt;0,H24/G24-1,0)</f>
        <v>9.0735783290241123E-3</v>
      </c>
      <c r="J24" s="124" t="str">
        <f>IF(G24&lt;&gt;H24,"þ"," ")</f>
        <v>þ</v>
      </c>
    </row>
    <row r="25" spans="1:13" ht="15" customHeight="1">
      <c r="A25" s="120"/>
      <c r="B25" s="16"/>
      <c r="C25" s="100" t="s">
        <v>53</v>
      </c>
      <c r="D25" s="101"/>
      <c r="E25" s="101">
        <f>1-E24+0.001</f>
        <v>0.2884254489290522</v>
      </c>
      <c r="F25" s="101">
        <f>1-E25</f>
        <v>0.7115745510709478</v>
      </c>
      <c r="G25" s="102">
        <f>IF(I20=1,IF(D15&lt;=5,D47,I47),IF(D15&lt;=5,D47*(1+Ceny!J3),I47*(1+Ceny!J3)))</f>
        <v>503.1</v>
      </c>
      <c r="H25" s="103">
        <f>IF(I20=1,IF(D15&lt;=5,D39,I39),IF(D15&lt;=5,D39*(1+Ceny!J3),I39*(1+Ceny!J3)))</f>
        <v>498</v>
      </c>
      <c r="I25" s="104">
        <f>IF(G25&gt;0,H25/G25-1,0)</f>
        <v>-1.0137149672033385E-2</v>
      </c>
      <c r="J25" s="124" t="str">
        <f t="shared" ref="J25:J30" si="0">IF(G25&lt;&gt;H25,"þ"," ")</f>
        <v>þ</v>
      </c>
    </row>
    <row r="26" spans="1:13" ht="15" customHeight="1">
      <c r="A26" s="126">
        <f>1-A22</f>
        <v>0.2874254489290522</v>
      </c>
      <c r="B26" s="16"/>
      <c r="C26" s="22" t="s">
        <v>54</v>
      </c>
      <c r="D26" s="36"/>
      <c r="E26" s="15"/>
      <c r="F26" s="15"/>
      <c r="G26" s="37">
        <f>SUM(G24:G25)</f>
        <v>624.29804999999999</v>
      </c>
      <c r="H26" s="38">
        <f>SUM(H24:H25)</f>
        <v>620.29774999999995</v>
      </c>
      <c r="I26" s="39">
        <f>IF(G26&gt;0,H26/G26-1,0)</f>
        <v>-6.4076765897315147E-3</v>
      </c>
      <c r="J26" s="124" t="str">
        <f t="shared" si="0"/>
        <v>þ</v>
      </c>
    </row>
    <row r="27" spans="1:13" ht="15" customHeight="1">
      <c r="A27" s="126">
        <f>1-A23</f>
        <v>0.7115745510709478</v>
      </c>
      <c r="B27" s="16"/>
      <c r="C27" s="7"/>
      <c r="D27" s="30"/>
      <c r="E27" s="30"/>
      <c r="F27" s="30"/>
      <c r="G27" s="40"/>
      <c r="H27" s="41"/>
      <c r="I27" s="42"/>
      <c r="J27" s="124"/>
    </row>
    <row r="28" spans="1:13" ht="15" customHeight="1">
      <c r="A28" s="120"/>
      <c r="B28" s="16">
        <v>2</v>
      </c>
      <c r="C28" s="7" t="s">
        <v>29</v>
      </c>
      <c r="D28" s="30"/>
      <c r="E28" s="30"/>
      <c r="F28" s="30"/>
      <c r="G28" s="33">
        <f>IF(I20=1,IF(D15=1,D48,IF(D15=2,E48,IF(D15=3,F48,IF(D15=4,G48,IF(D15=5,H48,IF(D15=6,I48)))))),IF(D15=1,D48*(1+Ceny!J3),IF(D15=2,E48*(1+Ceny!J3),IF(D15=3,F48*(1+Ceny!J3),IF(D15=4,G48*(1+Ceny!J3),IF(D15=5,H48*(1+Ceny!J3),IF(D15=6,I48*(1+Ceny!J3))))))))</f>
        <v>40.104500000000002</v>
      </c>
      <c r="H28" s="34">
        <f>IF(I20=1,IF(D15=1,D40,IF(D15=2,E40,IF(D15=3,F40,IF(D15=4,G40,IF(D15=5,H40,IF(D15=6,I40)))))),IF(D15=1,D40*(1+Ceny!J3),IF(D15=2,E40*(1+Ceny!J3),IF(D15=3,F40*(1+Ceny!J3),IF(D15=4,G40*(1+Ceny!J3),IF(D15=5,H40*(1+Ceny!J3),IF(D15=6,I40*(1+Ceny!J3))))))))</f>
        <v>40.104500000000002</v>
      </c>
      <c r="I28" s="35">
        <f>IF(G28&gt;0,H28/G28-1,0)</f>
        <v>0</v>
      </c>
      <c r="J28" s="124" t="str">
        <f t="shared" si="0"/>
        <v xml:space="preserve"> </v>
      </c>
    </row>
    <row r="29" spans="1:13" ht="15" customHeight="1">
      <c r="A29" s="120"/>
      <c r="B29" s="16"/>
      <c r="C29" s="100" t="s">
        <v>30</v>
      </c>
      <c r="D29" s="105"/>
      <c r="E29" s="105"/>
      <c r="F29" s="105"/>
      <c r="G29" s="102">
        <f>IF(I20=1,IF(D15=1,D49,IF(D15=2,E49,IF(D15=3,F49,IF(D15=4,G49,IF(D15=5,H49,IF(D15=6,I49)))))),IF(D15=1,D49*(1+Ceny!J3),IF(D15=2,E49*(1+Ceny!J3),IF(D15=3,F49*(1+Ceny!J3),IF(D15=4,G49*(1+Ceny!J3),IF(D15=5,H49*(1+Ceny!J3),IF(D15=6,I49*(1+Ceny!J3))))))))</f>
        <v>210.10000000000002</v>
      </c>
      <c r="H29" s="103">
        <f>IF(I20=1,IF(D15=1,D41,IF(D15=2,E41,IF(D15=3,F41,IF(D15=4,G41,IF(D15=5,H41,IF(D15=6,I41)))))),IF(D15=1,D41*(1+Ceny!J3),IF(D15=2,E41*(1+Ceny!J3),IF(D15=3,F41*(1+Ceny!J3),IF(D15=4,G41*(1+Ceny!J3),IF(D15=5,H41*(1+Ceny!J3),IF(D15=6,I41*(1+Ceny!J3))))))))</f>
        <v>210.10000000000002</v>
      </c>
      <c r="I29" s="104">
        <f>IF(G29&gt;0,H29/G29-1,0)</f>
        <v>0</v>
      </c>
      <c r="J29" s="124" t="str">
        <f>IF(G29&lt;&gt;H29,"þ"," ")</f>
        <v xml:space="preserve"> </v>
      </c>
    </row>
    <row r="30" spans="1:13" ht="15" customHeight="1">
      <c r="A30" s="120"/>
      <c r="B30" s="16"/>
      <c r="C30" s="22" t="s">
        <v>36</v>
      </c>
      <c r="D30" s="36"/>
      <c r="E30" s="36"/>
      <c r="F30" s="36"/>
      <c r="G30" s="37">
        <f>SUM(G28:G29)</f>
        <v>250.20450000000002</v>
      </c>
      <c r="H30" s="38">
        <f>SUM(H28:H29)</f>
        <v>250.20450000000002</v>
      </c>
      <c r="I30" s="39">
        <f>IF(G30&gt;0,H30/G30-1,0)</f>
        <v>0</v>
      </c>
      <c r="J30" s="124" t="str">
        <f t="shared" si="0"/>
        <v xml:space="preserve"> </v>
      </c>
    </row>
    <row r="31" spans="1:13" ht="15" customHeight="1">
      <c r="A31" s="120"/>
      <c r="B31" s="29"/>
      <c r="C31" s="100"/>
      <c r="D31" s="106"/>
      <c r="E31" s="106"/>
      <c r="F31" s="106"/>
      <c r="G31" s="100"/>
      <c r="H31" s="107"/>
      <c r="I31" s="108"/>
      <c r="J31" s="128"/>
    </row>
    <row r="32" spans="1:13" ht="15" customHeight="1">
      <c r="A32" s="120"/>
      <c r="B32" s="16"/>
      <c r="C32" s="109" t="s">
        <v>88</v>
      </c>
      <c r="D32" s="100"/>
      <c r="E32" s="100"/>
      <c r="F32" s="100"/>
      <c r="G32" s="110">
        <f>G26+G30</f>
        <v>874.50255000000004</v>
      </c>
      <c r="H32" s="111">
        <f>H26+H30</f>
        <v>870.50225</v>
      </c>
      <c r="I32" s="112">
        <f>IF(G32&gt;0,H32/G32-1,0)</f>
        <v>-4.5743720244155739E-3</v>
      </c>
      <c r="J32" s="124" t="str">
        <f t="shared" ref="J32" si="1">IF(G32&lt;&gt;H32,"þ"," ")</f>
        <v>þ</v>
      </c>
      <c r="K32" s="43"/>
    </row>
    <row r="33" spans="1:11" ht="15" customHeight="1">
      <c r="A33" s="120"/>
      <c r="B33" s="16"/>
      <c r="C33" s="7"/>
      <c r="D33" s="7"/>
      <c r="E33" s="7"/>
      <c r="F33" s="7"/>
      <c r="G33" s="13"/>
      <c r="H33" s="11" t="s">
        <v>33</v>
      </c>
      <c r="I33" s="12">
        <f>H32-G32</f>
        <v>-4.0003000000000384</v>
      </c>
      <c r="J33" s="121"/>
      <c r="K33" s="43"/>
    </row>
    <row r="34" spans="1:11" ht="15" customHeight="1">
      <c r="A34" s="129"/>
      <c r="B34" s="15"/>
      <c r="C34" s="15"/>
      <c r="D34" s="15"/>
      <c r="E34" s="15"/>
      <c r="F34" s="15"/>
      <c r="G34" s="15"/>
      <c r="H34" s="15"/>
      <c r="I34" s="15"/>
      <c r="J34" s="123"/>
      <c r="K34" s="43"/>
    </row>
    <row r="35" spans="1:11" ht="15" customHeight="1">
      <c r="A35" s="129"/>
      <c r="B35" s="72" t="s">
        <v>23</v>
      </c>
      <c r="C35" s="72" t="s">
        <v>81</v>
      </c>
      <c r="D35" s="83" t="str">
        <f>IF($D$15=6,"Dla grupy A5 tylko opłaty MPEC-KONIN Sp. z o.o."," ")</f>
        <v xml:space="preserve"> </v>
      </c>
      <c r="E35" s="84"/>
      <c r="F35" s="84"/>
      <c r="G35" s="73"/>
      <c r="H35" s="74"/>
      <c r="I35" s="73"/>
      <c r="J35" s="123"/>
      <c r="K35" s="43"/>
    </row>
    <row r="36" spans="1:11" ht="15" customHeight="1">
      <c r="A36" s="129"/>
      <c r="B36" s="15"/>
      <c r="C36" s="15"/>
      <c r="D36" s="15"/>
      <c r="E36" s="15"/>
      <c r="F36" s="15"/>
      <c r="G36" s="15"/>
      <c r="H36" s="15"/>
      <c r="I36" s="15"/>
      <c r="J36" s="123"/>
      <c r="K36" s="43"/>
    </row>
    <row r="37" spans="1:11" ht="15" customHeight="1">
      <c r="A37" s="126"/>
      <c r="B37" s="89" t="s">
        <v>0</v>
      </c>
      <c r="C37" s="89" t="s">
        <v>94</v>
      </c>
      <c r="D37" s="89" t="s">
        <v>82</v>
      </c>
      <c r="E37" s="89" t="s">
        <v>83</v>
      </c>
      <c r="F37" s="89" t="s">
        <v>84</v>
      </c>
      <c r="G37" s="89" t="s">
        <v>85</v>
      </c>
      <c r="H37" s="89" t="s">
        <v>86</v>
      </c>
      <c r="I37" s="89" t="s">
        <v>87</v>
      </c>
      <c r="J37" s="127"/>
      <c r="K37" s="43"/>
    </row>
    <row r="38" spans="1:11" ht="15" customHeight="1">
      <c r="A38" s="120"/>
      <c r="B38" s="93">
        <v>1</v>
      </c>
      <c r="C38" s="93" t="s">
        <v>52</v>
      </c>
      <c r="D38" s="94">
        <f>$F$8*$F$20*Ceny!$F$10/1000</f>
        <v>122.29774999999999</v>
      </c>
      <c r="E38" s="94">
        <f>$F$8*$F$20*Ceny!$F$10/1000</f>
        <v>122.29774999999999</v>
      </c>
      <c r="F38" s="94">
        <f>$F$8*$F$20*Ceny!$F$10/1000</f>
        <v>122.29774999999999</v>
      </c>
      <c r="G38" s="94">
        <f>$F$8*$F$20*Ceny!$F$10/1000</f>
        <v>122.29774999999999</v>
      </c>
      <c r="H38" s="94">
        <f>$F$8*$F$20*Ceny!$F$10/1000</f>
        <v>122.29774999999999</v>
      </c>
      <c r="I38" s="94">
        <f>$F$8*$F$20*Ceny!$F$55/1000</f>
        <v>145.72879999999998</v>
      </c>
      <c r="J38" s="127"/>
      <c r="K38" s="43"/>
    </row>
    <row r="39" spans="1:11" ht="15" customHeight="1">
      <c r="A39" s="120"/>
      <c r="B39" s="95">
        <v>2</v>
      </c>
      <c r="C39" s="95" t="s">
        <v>53</v>
      </c>
      <c r="D39" s="96">
        <f>$F$11*Ceny!$F$11</f>
        <v>498</v>
      </c>
      <c r="E39" s="96">
        <f>$F$11*Ceny!$F$11</f>
        <v>498</v>
      </c>
      <c r="F39" s="96">
        <f>$F$11*Ceny!$F$11</f>
        <v>498</v>
      </c>
      <c r="G39" s="96">
        <f>$F$11*Ceny!$F$11</f>
        <v>498</v>
      </c>
      <c r="H39" s="96">
        <f>$F$11*Ceny!$F$11</f>
        <v>498</v>
      </c>
      <c r="I39" s="96">
        <f>$F$11*Ceny!$F$56</f>
        <v>892.69999999999993</v>
      </c>
      <c r="J39" s="127"/>
      <c r="K39" s="43"/>
    </row>
    <row r="40" spans="1:11" ht="15" customHeight="1">
      <c r="A40" s="120"/>
      <c r="B40" s="93">
        <v>3</v>
      </c>
      <c r="C40" s="93" t="s">
        <v>29</v>
      </c>
      <c r="D40" s="94">
        <f>$F$8*$F$20*Ceny!$F17/1000</f>
        <v>40.104500000000002</v>
      </c>
      <c r="E40" s="94">
        <f>$F$8*$F$20*Ceny!$F23/1000</f>
        <v>42.546250000000001</v>
      </c>
      <c r="F40" s="94">
        <f>$F$8*$F$20*Ceny!$F29/1000</f>
        <v>36.2121</v>
      </c>
      <c r="G40" s="94">
        <f>$F$8*$F$20*Ceny!$F35/1000</f>
        <v>40.883049999999997</v>
      </c>
      <c r="H40" s="94">
        <f>$F$8*$F$20*Ceny!$F41/1000</f>
        <v>42.657150000000001</v>
      </c>
      <c r="I40" s="94">
        <f>$F$8*$F$20*Ceny!$F62/1000</f>
        <v>20.077999999999999</v>
      </c>
      <c r="J40" s="127"/>
      <c r="K40" s="43"/>
    </row>
    <row r="41" spans="1:11" ht="15" customHeight="1">
      <c r="A41" s="120"/>
      <c r="B41" s="95">
        <v>4</v>
      </c>
      <c r="C41" s="95" t="s">
        <v>30</v>
      </c>
      <c r="D41" s="96">
        <f>$F$11*Ceny!$F18</f>
        <v>210.10000000000002</v>
      </c>
      <c r="E41" s="96">
        <f>$F$11*Ceny!$F24</f>
        <v>222.39999999999998</v>
      </c>
      <c r="F41" s="96">
        <f>$F$11*Ceny!$F30</f>
        <v>247.3</v>
      </c>
      <c r="G41" s="96">
        <f>$F$11*Ceny!$F36</f>
        <v>212</v>
      </c>
      <c r="H41" s="96">
        <f>$F$11*Ceny!$F42</f>
        <v>220.9</v>
      </c>
      <c r="I41" s="96">
        <f>$F$11*Ceny!$F63</f>
        <v>136.1</v>
      </c>
      <c r="J41" s="127"/>
      <c r="K41" s="43"/>
    </row>
    <row r="42" spans="1:11" ht="15" customHeight="1">
      <c r="A42" s="120"/>
      <c r="B42" s="90">
        <v>5</v>
      </c>
      <c r="C42" s="91" t="s">
        <v>89</v>
      </c>
      <c r="D42" s="92">
        <f>SUM(D38:D41)</f>
        <v>870.50225</v>
      </c>
      <c r="E42" s="92">
        <f t="shared" ref="E42:I42" si="2">SUM(E38:E41)</f>
        <v>885.24399999999991</v>
      </c>
      <c r="F42" s="92">
        <f t="shared" si="2"/>
        <v>903.80984999999987</v>
      </c>
      <c r="G42" s="92">
        <f t="shared" si="2"/>
        <v>873.18079999999998</v>
      </c>
      <c r="H42" s="92">
        <f t="shared" si="2"/>
        <v>883.85489999999993</v>
      </c>
      <c r="I42" s="92">
        <f t="shared" si="2"/>
        <v>1194.6067999999998</v>
      </c>
      <c r="J42" s="127"/>
      <c r="K42" s="43"/>
    </row>
    <row r="43" spans="1:11" ht="15" customHeight="1">
      <c r="A43" s="120"/>
      <c r="B43" s="90">
        <v>6</v>
      </c>
      <c r="C43" s="91" t="s">
        <v>90</v>
      </c>
      <c r="D43" s="92">
        <f>D42*(1+Ceny!$J$3)</f>
        <v>1070.7177675</v>
      </c>
      <c r="E43" s="92">
        <f>E42*(1+Ceny!$J$3)</f>
        <v>1088.8501199999998</v>
      </c>
      <c r="F43" s="92">
        <f>F42*(1+Ceny!$J$3)</f>
        <v>1111.6861154999999</v>
      </c>
      <c r="G43" s="92">
        <f>G42*(1+Ceny!$J$3)</f>
        <v>1074.0123839999999</v>
      </c>
      <c r="H43" s="92">
        <f>H42*(1+Ceny!$J$3)</f>
        <v>1087.141527</v>
      </c>
      <c r="I43" s="92">
        <f>I42*(1+Ceny!$J$3)</f>
        <v>1469.3663639999997</v>
      </c>
      <c r="J43" s="127"/>
      <c r="K43" s="43"/>
    </row>
    <row r="44" spans="1:11" ht="15" customHeight="1">
      <c r="A44" s="120"/>
      <c r="B44" s="15"/>
      <c r="C44" s="15"/>
      <c r="D44" s="15"/>
      <c r="E44" s="15"/>
      <c r="F44" s="15"/>
      <c r="G44" s="15"/>
      <c r="H44" s="15"/>
      <c r="I44" s="15"/>
      <c r="J44" s="127"/>
      <c r="K44" s="43"/>
    </row>
    <row r="45" spans="1:11" ht="15" customHeight="1">
      <c r="A45" s="120"/>
      <c r="B45" s="89" t="s">
        <v>0</v>
      </c>
      <c r="C45" s="89" t="s">
        <v>98</v>
      </c>
      <c r="D45" s="89" t="s">
        <v>82</v>
      </c>
      <c r="E45" s="89" t="s">
        <v>83</v>
      </c>
      <c r="F45" s="89" t="s">
        <v>84</v>
      </c>
      <c r="G45" s="89" t="s">
        <v>85</v>
      </c>
      <c r="H45" s="89" t="s">
        <v>86</v>
      </c>
      <c r="I45" s="89" t="s">
        <v>87</v>
      </c>
      <c r="J45" s="127"/>
      <c r="K45" s="43"/>
    </row>
    <row r="46" spans="1:11" ht="15" customHeight="1">
      <c r="A46" s="120"/>
      <c r="B46" s="93">
        <v>1</v>
      </c>
      <c r="C46" s="93" t="s">
        <v>52</v>
      </c>
      <c r="D46" s="98">
        <f>$F$8*$F$20*Ceny!$E$10/1000</f>
        <v>121.19805000000001</v>
      </c>
      <c r="E46" s="98">
        <f>$F$8*$F$20*Ceny!$E$10/1000</f>
        <v>121.19805000000001</v>
      </c>
      <c r="F46" s="98">
        <f>$F$8*$F$20*Ceny!$E$10/1000</f>
        <v>121.19805000000001</v>
      </c>
      <c r="G46" s="98">
        <f>$F$8*$F$20*Ceny!$E$10/1000</f>
        <v>121.19805000000001</v>
      </c>
      <c r="H46" s="98">
        <f>$F$8*$F$20*Ceny!$E$10/1000</f>
        <v>121.19805000000001</v>
      </c>
      <c r="I46" s="98">
        <f>$F$8*$F$20*Ceny!$E$55/1000</f>
        <v>145.72879999999998</v>
      </c>
      <c r="J46" s="127"/>
      <c r="K46" s="43"/>
    </row>
    <row r="47" spans="1:11" ht="15" customHeight="1">
      <c r="A47" s="120"/>
      <c r="B47" s="95">
        <v>2</v>
      </c>
      <c r="C47" s="95" t="s">
        <v>53</v>
      </c>
      <c r="D47" s="99">
        <f>$F$11*Ceny!$E$11</f>
        <v>503.1</v>
      </c>
      <c r="E47" s="99">
        <f>$F$11*Ceny!$E$11</f>
        <v>503.1</v>
      </c>
      <c r="F47" s="99">
        <f>$F$11*Ceny!$E$11</f>
        <v>503.1</v>
      </c>
      <c r="G47" s="99">
        <f>$F$11*Ceny!$E$11</f>
        <v>503.1</v>
      </c>
      <c r="H47" s="99">
        <f>$F$11*Ceny!$E$11</f>
        <v>503.1</v>
      </c>
      <c r="I47" s="99">
        <f>$F$11*Ceny!$E$56</f>
        <v>892.69999999999993</v>
      </c>
      <c r="J47" s="127"/>
      <c r="K47" s="43"/>
    </row>
    <row r="48" spans="1:11" ht="15" customHeight="1">
      <c r="A48" s="120"/>
      <c r="B48" s="93">
        <v>3</v>
      </c>
      <c r="C48" s="93" t="s">
        <v>29</v>
      </c>
      <c r="D48" s="98">
        <f>$F$8*$F$20*Ceny!$E17/1000</f>
        <v>40.104500000000002</v>
      </c>
      <c r="E48" s="98">
        <f>$F$8*$F$20*Ceny!$E23/1000</f>
        <v>42.546250000000001</v>
      </c>
      <c r="F48" s="98">
        <f>$F$8*$F$20*Ceny!$E29/1000</f>
        <v>36.2121</v>
      </c>
      <c r="G48" s="98">
        <f>$F$8*$F$20*Ceny!$E35/1000</f>
        <v>40.883049999999997</v>
      </c>
      <c r="H48" s="98">
        <f>$F$8*$F$20*Ceny!$E41/1000</f>
        <v>42.657150000000001</v>
      </c>
      <c r="I48" s="98">
        <f>$F$8*$F$20*Ceny!$E62/1000</f>
        <v>20.077999999999999</v>
      </c>
      <c r="J48" s="127"/>
      <c r="K48" s="43"/>
    </row>
    <row r="49" spans="1:10" ht="15" customHeight="1">
      <c r="A49" s="120"/>
      <c r="B49" s="95">
        <v>4</v>
      </c>
      <c r="C49" s="95" t="s">
        <v>30</v>
      </c>
      <c r="D49" s="99">
        <f>$F$11*Ceny!$E18</f>
        <v>210.10000000000002</v>
      </c>
      <c r="E49" s="99">
        <f>$F$11*Ceny!$E24</f>
        <v>222.39999999999998</v>
      </c>
      <c r="F49" s="99">
        <f>$F$11*Ceny!$E30</f>
        <v>247.3</v>
      </c>
      <c r="G49" s="99">
        <f>$F$11*Ceny!$E36</f>
        <v>212</v>
      </c>
      <c r="H49" s="99">
        <f>$F$11*Ceny!$E42</f>
        <v>220.9</v>
      </c>
      <c r="I49" s="99">
        <f>$F$11*Ceny!$E63</f>
        <v>136.1</v>
      </c>
      <c r="J49" s="127"/>
    </row>
    <row r="50" spans="1:10">
      <c r="A50" s="120"/>
      <c r="B50" s="90">
        <v>5</v>
      </c>
      <c r="C50" s="91" t="s">
        <v>89</v>
      </c>
      <c r="D50" s="97">
        <f>SUM(D46:D49)</f>
        <v>874.50255000000004</v>
      </c>
      <c r="E50" s="97">
        <f t="shared" ref="E50" si="3">SUM(E46:E49)</f>
        <v>889.24429999999995</v>
      </c>
      <c r="F50" s="97">
        <f t="shared" ref="F50" si="4">SUM(F46:F49)</f>
        <v>907.81015000000002</v>
      </c>
      <c r="G50" s="97">
        <f t="shared" ref="G50" si="5">SUM(G46:G49)</f>
        <v>877.18110000000001</v>
      </c>
      <c r="H50" s="97">
        <f t="shared" ref="H50" si="6">SUM(H46:H49)</f>
        <v>887.85519999999997</v>
      </c>
      <c r="I50" s="97">
        <f t="shared" ref="I50" si="7">SUM(I46:I49)</f>
        <v>1194.6067999999998</v>
      </c>
      <c r="J50" s="127"/>
    </row>
    <row r="51" spans="1:10">
      <c r="A51" s="120"/>
      <c r="B51" s="90">
        <v>6</v>
      </c>
      <c r="C51" s="91" t="s">
        <v>90</v>
      </c>
      <c r="D51" s="97">
        <f>D50*(1+Ceny!$J$3)</f>
        <v>1075.6381365</v>
      </c>
      <c r="E51" s="97">
        <f>E50*(1+Ceny!$J$3)</f>
        <v>1093.770489</v>
      </c>
      <c r="F51" s="97">
        <f>F50*(1+Ceny!$J$3)</f>
        <v>1116.6064845000001</v>
      </c>
      <c r="G51" s="97">
        <f>G50*(1+Ceny!$J$3)</f>
        <v>1078.932753</v>
      </c>
      <c r="H51" s="97">
        <f>H50*(1+Ceny!$J$3)</f>
        <v>1092.0618959999999</v>
      </c>
      <c r="I51" s="97">
        <f>I50*(1+Ceny!$J$3)</f>
        <v>1469.3663639999997</v>
      </c>
      <c r="J51" s="127"/>
    </row>
    <row r="52" spans="1:10">
      <c r="A52" s="130"/>
      <c r="B52" s="131"/>
      <c r="C52" s="109"/>
      <c r="D52" s="100"/>
      <c r="E52" s="100"/>
      <c r="F52" s="100"/>
      <c r="G52" s="100"/>
      <c r="H52" s="100"/>
      <c r="I52" s="100"/>
      <c r="J52" s="132"/>
    </row>
  </sheetData>
  <sheetProtection selectLockedCells="1" selectUnlockedCells="1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2024-06-17T09:15:21Z</cp:lastPrinted>
  <dcterms:created xsi:type="dcterms:W3CDTF">2004-06-09T05:45:51Z</dcterms:created>
  <dcterms:modified xsi:type="dcterms:W3CDTF">2025-09-15T06:43:52Z</dcterms:modified>
</cp:coreProperties>
</file>